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/comment4.xml" ContentType="application/vnd.openxmlformats-officedocument.spreadsheetml.comments+xml"/>
  <Override PartName="/xl/worksheets/sheet6.xml" ContentType="application/vnd.openxmlformats-officedocument.spreadsheetml.worksheet+xml"/>
  <Override PartName="/xl/comments/comment5.xml" ContentType="application/vnd.openxmlformats-officedocument.spreadsheetml.comments+xml"/>
  <Override PartName="/xl/worksheets/sheet7.xml" ContentType="application/vnd.openxmlformats-officedocument.spreadsheetml.worksheet+xml"/>
  <Override PartName="/xl/comments/comment6.xml" ContentType="application/vnd.openxmlformats-officedocument.spreadsheetml.comments+xml"/>
  <Override PartName="/xl/worksheets/sheet8.xml" ContentType="application/vnd.openxmlformats-officedocument.spreadsheetml.worksheet+xml"/>
  <Override PartName="/xl/comments/comment7.xml" ContentType="application/vnd.openxmlformats-officedocument.spreadsheetml.comments+xml"/>
  <Override PartName="/xl/worksheets/sheet9.xml" ContentType="application/vnd.openxmlformats-officedocument.spreadsheetml.worksheet+xml"/>
  <Override PartName="/xl/comments/comment8.xml" ContentType="application/vnd.openxmlformats-officedocument.spreadsheetml.comments+xml"/>
  <Override PartName="/xl/worksheets/sheet10.xml" ContentType="application/vnd.openxmlformats-officedocument.spreadsheetml.worksheet+xml"/>
  <Override PartName="/xl/comments/comment9.xml" ContentType="application/vnd.openxmlformats-officedocument.spreadsheetml.comments+xml"/>
  <Override PartName="/xl/worksheets/sheet11.xml" ContentType="application/vnd.openxmlformats-officedocument.spreadsheetml.worksheet+xml"/>
  <Override PartName="/xl/comments/comment10.xml" ContentType="application/vnd.openxmlformats-officedocument.spreadsheetml.comments+xml"/>
  <Override PartName="/xl/worksheets/sheet12.xml" ContentType="application/vnd.openxmlformats-officedocument.spreadsheetml.worksheet+xml"/>
  <Override PartName="/xl/comments/comment11.xml" ContentType="application/vnd.openxmlformats-officedocument.spreadsheetml.comments+xml"/>
  <Override PartName="/xl/worksheets/sheet13.xml" ContentType="application/vnd.openxmlformats-officedocument.spreadsheetml.worksheet+xml"/>
  <Override PartName="/xl/comments/comment12.xml" ContentType="application/vnd.openxmlformats-officedocument.spreadsheetml.comments+xml"/>
  <Override PartName="/xl/worksheets/sheet14.xml" ContentType="application/vnd.openxmlformats-officedocument.spreadsheetml.worksheet+xml"/>
  <Override PartName="/xl/comments/comment13.xml" ContentType="application/vnd.openxmlformats-officedocument.spreadsheetml.comments+xml"/>
  <Override PartName="/xl/worksheets/sheet15.xml" ContentType="application/vnd.openxmlformats-officedocument.spreadsheetml.worksheet+xml"/>
  <Override PartName="/xl/comments/comment14.xml" ContentType="application/vnd.openxmlformats-officedocument.spreadsheetml.comments+xml"/>
  <Override PartName="/xl/worksheets/sheet16.xml" ContentType="application/vnd.openxmlformats-officedocument.spreadsheetml.worksheet+xml"/>
  <Override PartName="/xl/comments/comment15.xml" ContentType="application/vnd.openxmlformats-officedocument.spreadsheetml.comments+xml"/>
  <Override PartName="/xl/worksheets/sheet17.xml" ContentType="application/vnd.openxmlformats-officedocument.spreadsheetml.worksheet+xml"/>
  <Override PartName="/xl/comments/comment16.xml" ContentType="application/vnd.openxmlformats-officedocument.spreadsheetml.comments+xml"/>
  <Override PartName="/xl/worksheets/sheet18.xml" ContentType="application/vnd.openxmlformats-officedocument.spreadsheetml.worksheet+xml"/>
  <Override PartName="/xl/comments/comment17.xml" ContentType="application/vnd.openxmlformats-officedocument.spreadsheetml.comments+xml"/>
  <Override PartName="/xl/worksheets/sheet19.xml" ContentType="application/vnd.openxmlformats-officedocument.spreadsheetml.worksheet+xml"/>
  <Override PartName="/xl/comments/comment18.xml" ContentType="application/vnd.openxmlformats-officedocument.spreadsheetml.comments+xml"/>
  <Override PartName="/xl/worksheets/sheet20.xml" ContentType="application/vnd.openxmlformats-officedocument.spreadsheetml.worksheet+xml"/>
  <Override PartName="/xl/comments/comment19.xml" ContentType="application/vnd.openxmlformats-officedocument.spreadsheetml.comments+xml"/>
  <Override PartName="/xl/worksheets/sheet21.xml" ContentType="application/vnd.openxmlformats-officedocument.spreadsheetml.worksheet+xml"/>
  <Override PartName="/xl/comments/comment20.xml" ContentType="application/vnd.openxmlformats-officedocument.spreadsheetml.comments+xml"/>
  <Override PartName="/xl/worksheets/sheet22.xml" ContentType="application/vnd.openxmlformats-officedocument.spreadsheetml.worksheet+xml"/>
  <Override PartName="/xl/comments/comment21.xml" ContentType="application/vnd.openxmlformats-officedocument.spreadsheetml.comments+xml"/>
  <Override PartName="/xl/worksheets/sheet23.xml" ContentType="application/vnd.openxmlformats-officedocument.spreadsheetml.worksheet+xml"/>
  <Override PartName="/xl/comments/comment22.xml" ContentType="application/vnd.openxmlformats-officedocument.spreadsheetml.comments+xml"/>
  <Override PartName="/xl/worksheets/sheet24.xml" ContentType="application/vnd.openxmlformats-officedocument.spreadsheetml.worksheet+xml"/>
  <Override PartName="/xl/comments/comment23.xml" ContentType="application/vnd.openxmlformats-officedocument.spreadsheetml.comments+xml"/>
  <Override PartName="/xl/worksheets/sheet25.xml" ContentType="application/vnd.openxmlformats-officedocument.spreadsheetml.worksheet+xml"/>
  <Override PartName="/xl/comments/comment24.xml" ContentType="application/vnd.openxmlformats-officedocument.spreadsheetml.comments+xml"/>
  <Override PartName="/xl/worksheets/sheet26.xml" ContentType="application/vnd.openxmlformats-officedocument.spreadsheetml.worksheet+xml"/>
  <Override PartName="/xl/comments/comment25.xml" ContentType="application/vnd.openxmlformats-officedocument.spreadsheetml.comments+xml"/>
  <Override PartName="/xl/worksheets/sheet27.xml" ContentType="application/vnd.openxmlformats-officedocument.spreadsheetml.worksheet+xml"/>
  <Override PartName="/xl/comments/comment26.xml" ContentType="application/vnd.openxmlformats-officedocument.spreadsheetml.comments+xml"/>
  <Override PartName="/xl/worksheets/sheet28.xml" ContentType="application/vnd.openxmlformats-officedocument.spreadsheetml.worksheet+xml"/>
  <Override PartName="/xl/comments/comment27.xml" ContentType="application/vnd.openxmlformats-officedocument.spreadsheetml.comments+xml"/>
  <Override PartName="/xl/worksheets/sheet29.xml" ContentType="application/vnd.openxmlformats-officedocument.spreadsheetml.worksheet+xml"/>
  <Override PartName="/xl/comments/comment28.xml" ContentType="application/vnd.openxmlformats-officedocument.spreadsheetml.comments+xml"/>
  <Override PartName="/xl/worksheets/sheet30.xml" ContentType="application/vnd.openxmlformats-officedocument.spreadsheetml.worksheet+xml"/>
  <Override PartName="/xl/comments/comment29.xml" ContentType="application/vnd.openxmlformats-officedocument.spreadsheetml.comments+xml"/>
  <Override PartName="/xl/worksheets/sheet31.xml" ContentType="application/vnd.openxmlformats-officedocument.spreadsheetml.worksheet+xml"/>
  <Override PartName="/xl/comments/comment30.xml" ContentType="application/vnd.openxmlformats-officedocument.spreadsheetml.comments+xml"/>
  <Override PartName="/xl/worksheets/sheet32.xml" ContentType="application/vnd.openxmlformats-officedocument.spreadsheetml.worksheet+xml"/>
  <Override PartName="/xl/comments/comment31.xml" ContentType="application/vnd.openxmlformats-officedocument.spreadsheetml.comments+xml"/>
  <Override PartName="/xl/worksheets/sheet33.xml" ContentType="application/vnd.openxmlformats-officedocument.spreadsheetml.worksheet+xml"/>
  <Override PartName="/xl/comments/comment32.xml" ContentType="application/vnd.openxmlformats-officedocument.spreadsheetml.comments+xml"/>
  <Override PartName="/xl/worksheets/sheet34.xml" ContentType="application/vnd.openxmlformats-officedocument.spreadsheetml.worksheet+xml"/>
  <Override PartName="/xl/comments/comment33.xml" ContentType="application/vnd.openxmlformats-officedocument.spreadsheetml.comments+xml"/>
  <Override PartName="/xl/worksheets/sheet35.xml" ContentType="application/vnd.openxmlformats-officedocument.spreadsheetml.worksheet+xml"/>
  <Override PartName="/xl/comments/comment34.xml" ContentType="application/vnd.openxmlformats-officedocument.spreadsheetml.comments+xml"/>
  <Override PartName="/xl/worksheets/sheet36.xml" ContentType="application/vnd.openxmlformats-officedocument.spreadsheetml.worksheet+xml"/>
  <Override PartName="/xl/comments/comment35.xml" ContentType="application/vnd.openxmlformats-officedocument.spreadsheetml.comments+xml"/>
  <Override PartName="/xl/worksheets/sheet37.xml" ContentType="application/vnd.openxmlformats-officedocument.spreadsheetml.worksheet+xml"/>
  <Override PartName="/xl/comments/comment36.xml" ContentType="application/vnd.openxmlformats-officedocument.spreadsheetml.comments+xml"/>
  <Override PartName="/xl/worksheets/sheet38.xml" ContentType="application/vnd.openxmlformats-officedocument.spreadsheetml.worksheet+xml"/>
  <Override PartName="/xl/comments/comment37.xml" ContentType="application/vnd.openxmlformats-officedocument.spreadsheetml.comments+xml"/>
  <Override PartName="/xl/worksheets/sheet39.xml" ContentType="application/vnd.openxmlformats-officedocument.spreadsheetml.worksheet+xml"/>
  <Override PartName="/xl/comments/comment38.xml" ContentType="application/vnd.openxmlformats-officedocument.spreadsheetml.comments+xml"/>
  <Override PartName="/xl/worksheets/sheet40.xml" ContentType="application/vnd.openxmlformats-officedocument.spreadsheetml.worksheet+xml"/>
  <Override PartName="/xl/comments/comment39.xml" ContentType="application/vnd.openxmlformats-officedocument.spreadsheetml.comments+xml"/>
  <Override PartName="/xl/worksheets/sheet41.xml" ContentType="application/vnd.openxmlformats-officedocument.spreadsheetml.worksheet+xml"/>
  <Override PartName="/xl/comments/comment40.xml" ContentType="application/vnd.openxmlformats-officedocument.spreadsheetml.comments+xml"/>
  <Override PartName="/xl/worksheets/sheet42.xml" ContentType="application/vnd.openxmlformats-officedocument.spreadsheetml.worksheet+xml"/>
  <Override PartName="/xl/comments/comment41.xml" ContentType="application/vnd.openxmlformats-officedocument.spreadsheetml.comments+xml"/>
  <Override PartName="/xl/worksheets/sheet43.xml" ContentType="application/vnd.openxmlformats-officedocument.spreadsheetml.worksheet+xml"/>
  <Override PartName="/xl/comments/comment42.xml" ContentType="application/vnd.openxmlformats-officedocument.spreadsheetml.comments+xml"/>
  <Override PartName="/xl/worksheets/sheet44.xml" ContentType="application/vnd.openxmlformats-officedocument.spreadsheetml.worksheet+xml"/>
  <Override PartName="/xl/comments/comment43.xml" ContentType="application/vnd.openxmlformats-officedocument.spreadsheetml.comments+xml"/>
  <Override PartName="/xl/worksheets/sheet45.xml" ContentType="application/vnd.openxmlformats-officedocument.spreadsheetml.worksheet+xml"/>
  <Override PartName="/xl/comments/comment44.xml" ContentType="application/vnd.openxmlformats-officedocument.spreadsheetml.comments+xml"/>
  <Override PartName="/xl/worksheets/sheet46.xml" ContentType="application/vnd.openxmlformats-officedocument.spreadsheetml.worksheet+xml"/>
  <Override PartName="/xl/comments/comment45.xml" ContentType="application/vnd.openxmlformats-officedocument.spreadsheetml.comments+xml"/>
  <Override PartName="/xl/worksheets/sheet47.xml" ContentType="application/vnd.openxmlformats-officedocument.spreadsheetml.worksheet+xml"/>
  <Override PartName="/xl/comments/comment46.xml" ContentType="application/vnd.openxmlformats-officedocument.spreadsheetml.comments+xml"/>
  <Override PartName="/xl/worksheets/sheet48.xml" ContentType="application/vnd.openxmlformats-officedocument.spreadsheetml.worksheet+xml"/>
  <Override PartName="/xl/comments/comment47.xml" ContentType="application/vnd.openxmlformats-officedocument.spreadsheetml.comments+xml"/>
  <Override PartName="/xl/worksheets/sheet49.xml" ContentType="application/vnd.openxmlformats-officedocument.spreadsheetml.worksheet+xml"/>
  <Override PartName="/xl/comments/comment48.xml" ContentType="application/vnd.openxmlformats-officedocument.spreadsheetml.comments+xml"/>
  <Override PartName="/xl/worksheets/sheet50.xml" ContentType="application/vnd.openxmlformats-officedocument.spreadsheetml.worksheet+xml"/>
  <Override PartName="/xl/comments/comment49.xml" ContentType="application/vnd.openxmlformats-officedocument.spreadsheetml.comments+xml"/>
  <Override PartName="/xl/worksheets/sheet51.xml" ContentType="application/vnd.openxmlformats-officedocument.spreadsheetml.worksheet+xml"/>
  <Override PartName="/xl/comments/comment50.xml" ContentType="application/vnd.openxmlformats-officedocument.spreadsheetml.comments+xml"/>
  <Override PartName="/xl/worksheets/sheet52.xml" ContentType="application/vnd.openxmlformats-officedocument.spreadsheetml.worksheet+xml"/>
  <Override PartName="/xl/comments/comment51.xml" ContentType="application/vnd.openxmlformats-officedocument.spreadsheetml.comments+xml"/>
  <Override PartName="/xl/worksheets/sheet53.xml" ContentType="application/vnd.openxmlformats-officedocument.spreadsheetml.worksheet+xml"/>
  <Override PartName="/xl/comments/comment52.xml" ContentType="application/vnd.openxmlformats-officedocument.spreadsheetml.comments+xml"/>
  <Override PartName="/xl/worksheets/sheet54.xml" ContentType="application/vnd.openxmlformats-officedocument.spreadsheetml.worksheet+xml"/>
  <Override PartName="/xl/comments/comment53.xml" ContentType="application/vnd.openxmlformats-officedocument.spreadsheetml.comments+xml"/>
  <Override PartName="/xl/worksheets/sheet55.xml" ContentType="application/vnd.openxmlformats-officedocument.spreadsheetml.worksheet+xml"/>
  <Override PartName="/xl/comments/comment54.xml" ContentType="application/vnd.openxmlformats-officedocument.spreadsheetml.comments+xml"/>
  <Override PartName="/xl/worksheets/sheet56.xml" ContentType="application/vnd.openxmlformats-officedocument.spreadsheetml.worksheet+xml"/>
  <Override PartName="/xl/comments/comment55.xml" ContentType="application/vnd.openxmlformats-officedocument.spreadsheetml.comments+xml"/>
  <Override PartName="/xl/worksheets/sheet57.xml" ContentType="application/vnd.openxmlformats-officedocument.spreadsheetml.worksheet+xml"/>
  <Override PartName="/xl/comments/comment56.xml" ContentType="application/vnd.openxmlformats-officedocument.spreadsheetml.comments+xml"/>
  <Override PartName="/xl/worksheets/sheet58.xml" ContentType="application/vnd.openxmlformats-officedocument.spreadsheetml.worksheet+xml"/>
  <Override PartName="/xl/comments/comment57.xml" ContentType="application/vnd.openxmlformats-officedocument.spreadsheetml.comments+xml"/>
  <Override PartName="/xl/worksheets/sheet59.xml" ContentType="application/vnd.openxmlformats-officedocument.spreadsheetml.worksheet+xml"/>
  <Override PartName="/xl/comments/comment58.xml" ContentType="application/vnd.openxmlformats-officedocument.spreadsheetml.comments+xml"/>
  <Override PartName="/xl/worksheets/sheet60.xml" ContentType="application/vnd.openxmlformats-officedocument.spreadsheetml.worksheet+xml"/>
  <Override PartName="/xl/comments/comment59.xml" ContentType="application/vnd.openxmlformats-officedocument.spreadsheetml.comments+xml"/>
  <Override PartName="/xl/worksheets/sheet61.xml" ContentType="application/vnd.openxmlformats-officedocument.spreadsheetml.worksheet+xml"/>
  <Override PartName="/xl/comments/comment60.xml" ContentType="application/vnd.openxmlformats-officedocument.spreadsheetml.comments+xml"/>
  <Override PartName="/xl/worksheets/sheet62.xml" ContentType="application/vnd.openxmlformats-officedocument.spreadsheetml.worksheet+xml"/>
  <Override PartName="/xl/comments/comment61.xml" ContentType="application/vnd.openxmlformats-officedocument.spreadsheetml.comments+xml"/>
  <Override PartName="/xl/worksheets/sheet63.xml" ContentType="application/vnd.openxmlformats-officedocument.spreadsheetml.worksheet+xml"/>
  <Override PartName="/xl/comments/comment62.xml" ContentType="application/vnd.openxmlformats-officedocument.spreadsheetml.comments+xml"/>
  <Override PartName="/xl/worksheets/sheet64.xml" ContentType="application/vnd.openxmlformats-officedocument.spreadsheetml.worksheet+xml"/>
  <Override PartName="/xl/comments/comment63.xml" ContentType="application/vnd.openxmlformats-officedocument.spreadsheetml.comments+xml"/>
  <Override PartName="/xl/worksheets/sheet65.xml" ContentType="application/vnd.openxmlformats-officedocument.spreadsheetml.worksheet+xml"/>
  <Override PartName="/xl/comments/comment64.xml" ContentType="application/vnd.openxmlformats-officedocument.spreadsheetml.comments+xml"/>
  <Override PartName="/xl/worksheets/sheet66.xml" ContentType="application/vnd.openxmlformats-officedocument.spreadsheetml.worksheet+xml"/>
  <Override PartName="/xl/comments/comment65.xml" ContentType="application/vnd.openxmlformats-officedocument.spreadsheetml.comments+xml"/>
  <Override PartName="/xl/worksheets/sheet67.xml" ContentType="application/vnd.openxmlformats-officedocument.spreadsheetml.worksheet+xml"/>
  <Override PartName="/xl/comments/comment66.xml" ContentType="application/vnd.openxmlformats-officedocument.spreadsheetml.comments+xml"/>
  <Override PartName="/xl/worksheets/sheet68.xml" ContentType="application/vnd.openxmlformats-officedocument.spreadsheetml.worksheet+xml"/>
  <Override PartName="/xl/comments/comment67.xml" ContentType="application/vnd.openxmlformats-officedocument.spreadsheetml.comments+xml"/>
  <Override PartName="/xl/worksheets/sheet69.xml" ContentType="application/vnd.openxmlformats-officedocument.spreadsheetml.worksheet+xml"/>
  <Override PartName="/xl/comments/comment68.xml" ContentType="application/vnd.openxmlformats-officedocument.spreadsheetml.comments+xml"/>
  <Override PartName="/xl/worksheets/sheet70.xml" ContentType="application/vnd.openxmlformats-officedocument.spreadsheetml.worksheet+xml"/>
  <Override PartName="/xl/comments/comment69.xml" ContentType="application/vnd.openxmlformats-officedocument.spreadsheetml.comments+xml"/>
  <Override PartName="/xl/worksheets/sheet71.xml" ContentType="application/vnd.openxmlformats-officedocument.spreadsheetml.worksheet+xml"/>
  <Override PartName="/xl/comments/comment70.xml" ContentType="application/vnd.openxmlformats-officedocument.spreadsheetml.comments+xml"/>
  <Override PartName="/xl/worksheets/sheet72.xml" ContentType="application/vnd.openxmlformats-officedocument.spreadsheetml.worksheet+xml"/>
  <Override PartName="/xl/comments/comment71.xml" ContentType="application/vnd.openxmlformats-officedocument.spreadsheetml.comments+xml"/>
  <Override PartName="/xl/worksheets/sheet73.xml" ContentType="application/vnd.openxmlformats-officedocument.spreadsheetml.worksheet+xml"/>
  <Override PartName="/xl/comments/comment72.xml" ContentType="application/vnd.openxmlformats-officedocument.spreadsheetml.comments+xml"/>
  <Override PartName="/xl/worksheets/sheet74.xml" ContentType="application/vnd.openxmlformats-officedocument.spreadsheetml.worksheet+xml"/>
  <Override PartName="/xl/comments/comment73.xml" ContentType="application/vnd.openxmlformats-officedocument.spreadsheetml.comments+xml"/>
  <Override PartName="/xl/worksheets/sheet75.xml" ContentType="application/vnd.openxmlformats-officedocument.spreadsheetml.worksheet+xml"/>
  <Override PartName="/xl/comments/comment74.xml" ContentType="application/vnd.openxmlformats-officedocument.spreadsheetml.comments+xml"/>
  <Override PartName="/xl/worksheets/sheet76.xml" ContentType="application/vnd.openxmlformats-officedocument.spreadsheetml.worksheet+xml"/>
  <Override PartName="/xl/comments/comment75.xml" ContentType="application/vnd.openxmlformats-officedocument.spreadsheetml.comments+xml"/>
  <Override PartName="/xl/worksheets/sheet77.xml" ContentType="application/vnd.openxmlformats-officedocument.spreadsheetml.worksheet+xml"/>
  <Override PartName="/xl/comments/comment76.xml" ContentType="application/vnd.openxmlformats-officedocument.spreadsheetml.comments+xml"/>
  <Override PartName="/xl/worksheets/sheet78.xml" ContentType="application/vnd.openxmlformats-officedocument.spreadsheetml.worksheet+xml"/>
  <Override PartName="/xl/comments/comment77.xml" ContentType="application/vnd.openxmlformats-officedocument.spreadsheetml.comments+xml"/>
  <Override PartName="/xl/worksheets/sheet79.xml" ContentType="application/vnd.openxmlformats-officedocument.spreadsheetml.worksheet+xml"/>
  <Override PartName="/xl/comments/comment78.xml" ContentType="application/vnd.openxmlformats-officedocument.spreadsheetml.comments+xml"/>
  <Override PartName="/xl/worksheets/sheet80.xml" ContentType="application/vnd.openxmlformats-officedocument.spreadsheetml.worksheet+xml"/>
  <Override PartName="/xl/comments/comment79.xml" ContentType="application/vnd.openxmlformats-officedocument.spreadsheetml.comments+xml"/>
  <Override PartName="/xl/worksheets/sheet81.xml" ContentType="application/vnd.openxmlformats-officedocument.spreadsheetml.worksheet+xml"/>
  <Override PartName="/xl/comments/comment80.xml" ContentType="application/vnd.openxmlformats-officedocument.spreadsheetml.comments+xml"/>
  <Override PartName="/xl/worksheets/sheet82.xml" ContentType="application/vnd.openxmlformats-officedocument.spreadsheetml.worksheet+xml"/>
  <Override PartName="/xl/comments/comment81.xml" ContentType="application/vnd.openxmlformats-officedocument.spreadsheetml.comments+xml"/>
  <Override PartName="/xl/worksheets/sheet83.xml" ContentType="application/vnd.openxmlformats-officedocument.spreadsheetml.worksheet+xml"/>
  <Override PartName="/xl/comments/comment82.xml" ContentType="application/vnd.openxmlformats-officedocument.spreadsheetml.comments+xml"/>
  <Override PartName="/xl/worksheets/sheet84.xml" ContentType="application/vnd.openxmlformats-officedocument.spreadsheetml.worksheet+xml"/>
  <Override PartName="/xl/comments/comment83.xml" ContentType="application/vnd.openxmlformats-officedocument.spreadsheetml.comments+xml"/>
  <Override PartName="/xl/worksheets/sheet85.xml" ContentType="application/vnd.openxmlformats-officedocument.spreadsheetml.worksheet+xml"/>
  <Override PartName="/xl/comments/comment84.xml" ContentType="application/vnd.openxmlformats-officedocument.spreadsheetml.comments+xml"/>
  <Override PartName="/xl/worksheets/sheet86.xml" ContentType="application/vnd.openxmlformats-officedocument.spreadsheetml.worksheet+xml"/>
  <Override PartName="/xl/comments/comment85.xml" ContentType="application/vnd.openxmlformats-officedocument.spreadsheetml.comments+xml"/>
  <Override PartName="/xl/worksheets/sheet87.xml" ContentType="application/vnd.openxmlformats-officedocument.spreadsheetml.worksheet+xml"/>
  <Override PartName="/xl/comments/comment86.xml" ContentType="application/vnd.openxmlformats-officedocument.spreadsheetml.comments+xml"/>
  <Override PartName="/xl/worksheets/sheet88.xml" ContentType="application/vnd.openxmlformats-officedocument.spreadsheetml.worksheet+xml"/>
  <Override PartName="/xl/comments/comment87.xml" ContentType="application/vnd.openxmlformats-officedocument.spreadsheetml.comments+xml"/>
  <Override PartName="/xl/worksheets/sheet89.xml" ContentType="application/vnd.openxmlformats-officedocument.spreadsheetml.worksheet+xml"/>
  <Override PartName="/xl/comments/comment88.xml" ContentType="application/vnd.openxmlformats-officedocument.spreadsheetml.comments+xml"/>
  <Override PartName="/xl/worksheets/sheet90.xml" ContentType="application/vnd.openxmlformats-officedocument.spreadsheetml.worksheet+xml"/>
  <Override PartName="/xl/comments/comment89.xml" ContentType="application/vnd.openxmlformats-officedocument.spreadsheetml.comments+xml"/>
  <Override PartName="/xl/worksheets/sheet91.xml" ContentType="application/vnd.openxmlformats-officedocument.spreadsheetml.worksheet+xml"/>
  <Override PartName="/xl/comments/comment90.xml" ContentType="application/vnd.openxmlformats-officedocument.spreadsheetml.comments+xml"/>
  <Override PartName="/xl/worksheets/sheet92.xml" ContentType="application/vnd.openxmlformats-officedocument.spreadsheetml.worksheet+xml"/>
  <Override PartName="/xl/comments/comment91.xml" ContentType="application/vnd.openxmlformats-officedocument.spreadsheetml.comments+xml"/>
  <Override PartName="/xl/worksheets/sheet93.xml" ContentType="application/vnd.openxmlformats-officedocument.spreadsheetml.worksheet+xml"/>
  <Override PartName="/xl/comments/comment92.xml" ContentType="application/vnd.openxmlformats-officedocument.spreadsheetml.comments+xml"/>
  <Override PartName="/xl/worksheets/sheet94.xml" ContentType="application/vnd.openxmlformats-officedocument.spreadsheetml.worksheet+xml"/>
  <Override PartName="/xl/comments/comment93.xml" ContentType="application/vnd.openxmlformats-officedocument.spreadsheetml.comments+xml"/>
  <Override PartName="/xl/worksheets/sheet95.xml" ContentType="application/vnd.openxmlformats-officedocument.spreadsheetml.worksheet+xml"/>
  <Override PartName="/xl/comments/comment94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ummary" sheetId="1" state="visible" r:id="rId1"/>
    <sheet name="Cover" sheetId="2" state="visible" r:id="rId2"/>
    <sheet name="Income Statement" sheetId="3" state="visible" r:id="rId3"/>
    <sheet name="_Placeholder" sheetId="4" state="hidden" r:id="rId4"/>
    <sheet name="_Webster_1" sheetId="5" state="hidden" r:id="rId5"/>
    <sheet name="Debt Schedule" sheetId="6" state="visible" r:id="rId6"/>
    <sheet name="_Webster_2" sheetId="7" state="hidden" r:id="rId7"/>
    <sheet name="_Webster_3" sheetId="8" state="hidden" r:id="rId8"/>
    <sheet name="_Webster_4" sheetId="9" state="hidden" r:id="rId9"/>
    <sheet name="_Webster_5" sheetId="10" state="hidden" r:id="rId10"/>
    <sheet name="_Webster_6" sheetId="11" state="hidden" r:id="rId11"/>
    <sheet name="_Wintrust_1" sheetId="12" state="hidden" r:id="rId12"/>
    <sheet name="_Paccar_1" sheetId="13" state="hidden" r:id="rId13"/>
    <sheet name="_Paccar_2" sheetId="14" state="hidden" r:id="rId14"/>
    <sheet name="_Paccar_3" sheetId="15" state="hidden" r:id="rId15"/>
    <sheet name="_Paccar_4" sheetId="16" state="hidden" r:id="rId16"/>
    <sheet name="_Paccar_5" sheetId="17" state="hidden" r:id="rId17"/>
    <sheet name="_Paccar_6" sheetId="18" state="hidden" r:id="rId18"/>
    <sheet name="_Paccar_7" sheetId="19" state="hidden" r:id="rId19"/>
    <sheet name="_Paccar_8" sheetId="20" state="hidden" r:id="rId20"/>
    <sheet name="_Paccar_9" sheetId="21" state="hidden" r:id="rId21"/>
    <sheet name="_Paccar_10" sheetId="22" state="hidden" r:id="rId22"/>
    <sheet name="_Paccar_11" sheetId="23" state="hidden" r:id="rId23"/>
    <sheet name="_Paccar_12" sheetId="24" state="hidden" r:id="rId24"/>
    <sheet name="_Paccar_13" sheetId="25" state="hidden" r:id="rId25"/>
    <sheet name="_Paccar_14" sheetId="26" state="hidden" r:id="rId26"/>
    <sheet name="_Paccar_15" sheetId="27" state="hidden" r:id="rId27"/>
    <sheet name="_Paccar_16" sheetId="28" state="hidden" r:id="rId28"/>
    <sheet name="_Paccar_17" sheetId="29" state="hidden" r:id="rId29"/>
    <sheet name="_Paccar_18" sheetId="30" state="hidden" r:id="rId30"/>
    <sheet name="_Paccar_19" sheetId="31" state="hidden" r:id="rId31"/>
    <sheet name="_Paccar_20" sheetId="32" state="hidden" r:id="rId32"/>
    <sheet name="_Paccar_21" sheetId="33" state="hidden" r:id="rId33"/>
    <sheet name="_Paccar_22" sheetId="34" state="hidden" r:id="rId34"/>
    <sheet name="_Ascentium_1" sheetId="35" state="hidden" r:id="rId35"/>
    <sheet name="_Ascentium_2" sheetId="36" state="hidden" r:id="rId36"/>
    <sheet name="_Amur_1" sheetId="37" state="hidden" r:id="rId37"/>
    <sheet name="_Daimler_1" sheetId="38" state="hidden" r:id="rId38"/>
    <sheet name="_JXFinancial_1" sheetId="39" state="hidden" r:id="rId39"/>
    <sheet name="_FPG_1" sheetId="40" state="hidden" r:id="rId40"/>
    <sheet name="_Peapack_1" sheetId="41" state="hidden" r:id="rId41"/>
    <sheet name="_Peapack_2" sheetId="42" state="hidden" r:id="rId42"/>
    <sheet name="_Peapack_3" sheetId="43" state="hidden" r:id="rId43"/>
    <sheet name="_Peapack_4" sheetId="44" state="hidden" r:id="rId44"/>
    <sheet name="_TriState_1" sheetId="45" state="hidden" r:id="rId45"/>
    <sheet name="_TriState_2" sheetId="46" state="hidden" r:id="rId46"/>
    <sheet name="_TriState_3" sheetId="47" state="hidden" r:id="rId47"/>
    <sheet name="_TriState_4" sheetId="48" state="hidden" r:id="rId48"/>
    <sheet name="_TriState_5" sheetId="49" state="hidden" r:id="rId49"/>
    <sheet name="_CCG_1" sheetId="50" state="hidden" r:id="rId50"/>
    <sheet name="_CCG_2" sheetId="51" state="hidden" r:id="rId51"/>
    <sheet name="_CCG_3" sheetId="52" state="hidden" r:id="rId52"/>
    <sheet name="_BoA_1" sheetId="53" state="hidden" r:id="rId53"/>
    <sheet name="_IntlFin_1" sheetId="54" state="hidden" r:id="rId54"/>
    <sheet name="_IntlFin_2" sheetId="55" state="hidden" r:id="rId55"/>
    <sheet name="_BMO_1" sheetId="56" state="hidden" r:id="rId56"/>
    <sheet name="_BMO_2" sheetId="57" state="hidden" r:id="rId57"/>
    <sheet name="_BMO_3" sheetId="58" state="hidden" r:id="rId58"/>
    <sheet name="_BMO_4" sheetId="59" state="hidden" r:id="rId59"/>
    <sheet name="_BMO_5" sheetId="60" state="hidden" r:id="rId60"/>
    <sheet name="_BMO_6" sheetId="61" state="hidden" r:id="rId61"/>
    <sheet name="_BMO_7" sheetId="62" state="hidden" r:id="rId62"/>
    <sheet name="_BMO_8" sheetId="63" state="hidden" r:id="rId63"/>
    <sheet name="_BMO_9" sheetId="64" state="hidden" r:id="rId64"/>
    <sheet name="_BMO_10" sheetId="65" state="hidden" r:id="rId65"/>
    <sheet name="_AtlanticUnion_1" sheetId="66" state="hidden" r:id="rId66"/>
    <sheet name="_AtlanticUnion_2" sheetId="67" state="hidden" r:id="rId67"/>
    <sheet name="_AtlanticUnion_3" sheetId="68" state="hidden" r:id="rId68"/>
    <sheet name="_Balboa_1" sheetId="69" state="hidden" r:id="rId69"/>
    <sheet name="_Wells_1" sheetId="70" state="hidden" r:id="rId70"/>
    <sheet name="_Wells_2" sheetId="71" state="hidden" r:id="rId71"/>
    <sheet name="_Wells_3" sheetId="72" state="hidden" r:id="rId72"/>
    <sheet name="_Huntington_1" sheetId="73" state="hidden" r:id="rId73"/>
    <sheet name="_Huntington_2" sheetId="74" state="hidden" r:id="rId74"/>
    <sheet name="_Huntington_3" sheetId="75" state="hidden" r:id="rId75"/>
    <sheet name="_Huntington_4" sheetId="76" state="hidden" r:id="rId76"/>
    <sheet name="_Huntington_5" sheetId="77" state="hidden" r:id="rId77"/>
    <sheet name="_Constellation_1" sheetId="78" state="hidden" r:id="rId78"/>
    <sheet name="_Constellation_2" sheetId="79" state="hidden" r:id="rId79"/>
    <sheet name="_Commonwealth_1" sheetId="80" state="hidden" r:id="rId80"/>
    <sheet name="_Commonwealth_2" sheetId="81" state="hidden" r:id="rId81"/>
    <sheet name="_WinWin_1" sheetId="82" state="hidden" r:id="rId82"/>
    <sheet name="_WinWin_2" sheetId="83" state="hidden" r:id="rId83"/>
    <sheet name="_Mercedes_1" sheetId="84" state="hidden" r:id="rId84"/>
    <sheet name="_GMFinancial_1" sheetId="85" state="hidden" r:id="rId85"/>
    <sheet name="_FirstCommonwealth_1" sheetId="86" state="hidden" r:id="rId86"/>
    <sheet name="_SignatureBank_1" sheetId="87" state="hidden" r:id="rId87"/>
    <sheet name="_NBHBank_1" sheetId="88" state="hidden" r:id="rId88"/>
    <sheet name="_PeoplesBank_1" sheetId="89" state="hidden" r:id="rId89"/>
    <sheet name="Balance Sheet" sheetId="90" state="visible" r:id="rId90"/>
    <sheet name="Cash Flow" sheetId="91" state="visible" r:id="rId91"/>
    <sheet name="Assumptions" sheetId="92" state="visible" r:id="rId92"/>
    <sheet name="P&amp;L Detail" sheetId="93" state="visible" r:id="rId93"/>
    <sheet name="QoE" sheetId="94" state="visible" r:id="rId94"/>
    <sheet name="Open Items" sheetId="95" state="visible" r:id="rId95"/>
  </sheets>
  <definedNames>
    <definedName name="Webster1_CurrentBalance">'_Webster_1'!$B$6</definedName>
    <definedName name="Webster2_CurrentBalance">'_Webster_2'!$B$6</definedName>
    <definedName name="Webster3_CurrentBalance">'_Webster_3'!$B$6</definedName>
    <definedName name="Webster4_CurrentBalance">'_Webster_4'!$B$6</definedName>
    <definedName name="Webster5_CurrentBalance">'_Webster_5'!$B$6</definedName>
    <definedName name="Webster6_CurrentBalance">'_Webster_6'!$B$6</definedName>
    <definedName name="_xlnm.Print_Area" localSheetId="1">'Cover'!$A$1:$H$41</definedName>
  </definedNames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"/>
    <numFmt numFmtId="165" formatCode="MM/DD/YYYY"/>
    <numFmt numFmtId="166" formatCode="0.0000%"/>
    <numFmt numFmtId="167" formatCode="MMM-YYYY"/>
    <numFmt numFmtId="168" formatCode="0.0%"/>
    <numFmt numFmtId="169" formatCode="0.00x"/>
  </numFmts>
  <fonts count="44">
    <font>
      <name val="Calibri"/>
      <family val="2"/>
      <color theme="1"/>
      <sz val="11"/>
      <scheme val="minor"/>
    </font>
    <font>
      <b val="1"/>
    </font>
    <font>
      <b val="1"/>
      <color rgb="00FFFFFF"/>
    </font>
    <font>
      <color rgb="000000FF"/>
    </font>
    <font>
      <i val="1"/>
      <color rgb="00808080"/>
    </font>
    <font>
      <color rgb="00008000"/>
    </font>
    <font>
      <color rgb="00000000"/>
    </font>
    <font>
      <b val="1"/>
      <sz val="12"/>
    </font>
    <font>
      <b val="1"/>
      <color rgb="00FFFFFF"/>
      <sz val="11"/>
    </font>
    <font>
      <b val="1"/>
      <sz val="11"/>
    </font>
    <font>
      <b val="1"/>
      <color rgb="00008000"/>
    </font>
    <font>
      <b val="1"/>
      <sz val="14"/>
    </font>
    <font>
      <b val="1"/>
      <sz val="10"/>
    </font>
    <font>
      <i val="1"/>
      <color rgb="00666666"/>
    </font>
    <font>
      <i val="1"/>
      <color rgb="00FF0000"/>
    </font>
    <font>
      <b val="1"/>
      <i val="1"/>
    </font>
    <font>
      <b val="1"/>
      <color rgb="00FFFFFF"/>
      <sz val="16"/>
    </font>
    <font>
      <i val="1"/>
    </font>
    <font>
      <b val="1"/>
      <color rgb="00FFFFFF"/>
      <sz val="12"/>
    </font>
    <font>
      <i val="1"/>
      <sz val="10"/>
    </font>
    <font>
      <i val="1"/>
      <sz val="11"/>
    </font>
    <font>
      <b val="1"/>
      <color rgb="000000FF"/>
    </font>
    <font>
      <b val="1"/>
      <color rgb="00FFFFFF"/>
      <sz val="14"/>
    </font>
    <font>
      <i val="1"/>
      <sz val="9"/>
    </font>
    <font>
      <name val="Calibri"/>
      <b val="1"/>
      <color rgb="001A2A3D"/>
      <sz val="28"/>
    </font>
    <font>
      <name val="Calibri"/>
      <i val="1"/>
      <color rgb="00999999"/>
      <sz val="12"/>
    </font>
    <font>
      <name val="Calibri"/>
      <b val="1"/>
      <color rgb="00333333"/>
      <sz val="11"/>
    </font>
    <font>
      <name val="Calibri"/>
      <color rgb="00333333"/>
      <sz val="11"/>
    </font>
    <font>
      <name val="Calibri"/>
      <b val="1"/>
      <color rgb="001A2A3D"/>
      <sz val="14"/>
    </font>
    <font>
      <name val="Calibri"/>
      <color rgb="00333333"/>
      <sz val="10"/>
    </font>
    <font>
      <name val="Calibri"/>
      <color rgb="001A2A3D"/>
      <sz val="11"/>
    </font>
    <font>
      <color rgb="00CCCCCC"/>
    </font>
    <font>
      <name val="Calibri"/>
      <i val="1"/>
      <color rgb="00666666"/>
      <sz val="10"/>
    </font>
    <font>
      <name val="Calibri"/>
      <b val="1"/>
      <color rgb="001A2A3D"/>
      <sz val="9"/>
    </font>
    <font>
      <name val="Calibri"/>
      <i val="1"/>
      <color rgb="00888888"/>
      <sz val="8"/>
    </font>
    <font>
      <b val="1"/>
      <color rgb="001A237E"/>
      <sz val="11"/>
    </font>
    <font>
      <b val="1"/>
      <color rgb="00C62828"/>
    </font>
    <font>
      <b val="1"/>
      <color rgb="00FF6D00"/>
    </font>
    <font>
      <b val="1"/>
      <color rgb="00F57F17"/>
    </font>
    <font>
      <b val="1"/>
      <color rgb="002E7D32"/>
    </font>
    <font>
      <i val="1"/>
      <color rgb="00616161"/>
    </font>
    <font>
      <b val="1"/>
      <color rgb="001565C0"/>
    </font>
    <font>
      <b val="1"/>
      <sz val="16"/>
    </font>
    <font>
      <i val="1"/>
      <sz val="12"/>
    </font>
  </fonts>
  <fills count="28">
    <fill>
      <patternFill/>
    </fill>
    <fill>
      <patternFill patternType="gray125"/>
    </fill>
    <fill>
      <patternFill patternType="solid">
        <fgColor rgb="001F2D3D"/>
        <bgColor rgb="001F2D3D"/>
      </patternFill>
    </fill>
    <fill>
      <patternFill patternType="solid">
        <fgColor rgb="00FFFFE0"/>
        <bgColor rgb="00FFFFE0"/>
      </patternFill>
    </fill>
    <fill>
      <patternFill patternType="solid">
        <fgColor rgb="00E3F2FD"/>
        <bgColor rgb="00E3F2FD"/>
      </patternFill>
    </fill>
    <fill>
      <patternFill patternType="solid">
        <fgColor rgb="00E0E0E0"/>
        <bgColor rgb="00E0E0E0"/>
      </patternFill>
    </fill>
    <fill>
      <patternFill patternType="solid">
        <fgColor rgb="00B0C4DE"/>
        <bgColor rgb="00B0C4DE"/>
      </patternFill>
    </fill>
    <fill>
      <patternFill patternType="solid">
        <fgColor rgb="00D9E1F2"/>
        <bgColor rgb="00D9E1F2"/>
      </patternFill>
    </fill>
    <fill>
      <patternFill patternType="solid">
        <fgColor rgb="001A237E"/>
        <bgColor rgb="001A237E"/>
      </patternFill>
    </fill>
    <fill>
      <patternFill patternType="solid">
        <fgColor rgb="00E8F5E9"/>
        <bgColor rgb="00E8F5E9"/>
      </patternFill>
    </fill>
    <fill>
      <patternFill patternType="solid">
        <fgColor rgb="001565C0"/>
        <bgColor rgb="001565C0"/>
      </patternFill>
    </fill>
    <fill>
      <patternFill patternType="solid">
        <fgColor rgb="00A5D6A7"/>
        <bgColor rgb="00A5D6A7"/>
      </patternFill>
    </fill>
    <fill>
      <patternFill patternType="solid">
        <fgColor rgb="0037474F"/>
        <bgColor rgb="0037474F"/>
      </patternFill>
    </fill>
    <fill>
      <patternFill patternType="solid">
        <fgColor rgb="00ECEFF1"/>
        <bgColor rgb="00ECEFF1"/>
      </patternFill>
    </fill>
    <fill>
      <patternFill patternType="solid">
        <fgColor rgb="00FFF3E0"/>
        <bgColor rgb="00FFF3E0"/>
      </patternFill>
    </fill>
    <fill>
      <patternFill patternType="solid">
        <fgColor rgb="002E3B4E"/>
        <bgColor rgb="002E3B4E"/>
      </patternFill>
    </fill>
    <fill>
      <patternFill patternType="solid">
        <fgColor rgb="00E65100"/>
        <bgColor rgb="00E65100"/>
      </patternFill>
    </fill>
    <fill>
      <patternFill patternType="solid">
        <fgColor rgb="00F5F5F5"/>
        <bgColor rgb="00F5F5F5"/>
      </patternFill>
    </fill>
    <fill>
      <patternFill patternType="solid">
        <fgColor rgb="001B5E20"/>
        <bgColor rgb="001B5E20"/>
      </patternFill>
    </fill>
    <fill>
      <patternFill patternType="solid">
        <fgColor rgb="00E8E8E8"/>
        <bgColor rgb="00E8E8E8"/>
      </patternFill>
    </fill>
    <fill>
      <patternFill patternType="solid">
        <fgColor rgb="002E7D32"/>
        <bgColor rgb="002E7D32"/>
      </patternFill>
    </fill>
    <fill>
      <patternFill patternType="solid">
        <fgColor rgb="00006064"/>
        <bgColor rgb="00006064"/>
      </patternFill>
    </fill>
    <fill>
      <patternFill patternType="solid">
        <fgColor rgb="002C3E50"/>
        <bgColor rgb="002C3E50"/>
      </patternFill>
    </fill>
    <fill>
      <patternFill patternType="solid">
        <fgColor rgb="00E8EAF6"/>
        <bgColor rgb="00E8EAF6"/>
      </patternFill>
    </fill>
    <fill>
      <patternFill patternType="solid">
        <fgColor rgb="00FFCDD2"/>
        <bgColor rgb="00FFCDD2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C8E6C9"/>
        <bgColor rgb="00C8E6C9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  <border>
      <bottom style="medium">
        <color rgb="00C9A227"/>
      </bottom>
    </border>
    <border>
      <bottom style="thin">
        <color rgb="00C9A227"/>
      </bottom>
    </border>
    <border>
      <left/>
      <right/>
      <top/>
      <bottom style="medium">
        <color rgb="00C9A227"/>
      </bottom>
      <diagonal/>
    </border>
    <border>
      <right/>
      <bottom style="medium">
        <color rgb="00C9A227"/>
      </bottom>
    </border>
  </borders>
  <cellStyleXfs count="1">
    <xf numFmtId="0" fontId="0" fillId="0" borderId="0"/>
  </cellStyleXfs>
  <cellXfs count="16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0" fillId="2" borderId="0" pivotButton="0" quotePrefix="0" xfId="0"/>
    <xf numFmtId="0" fontId="3" fillId="0" borderId="0" pivotButton="0" quotePrefix="0" xfId="0"/>
    <xf numFmtId="3" fontId="3" fillId="0" borderId="0" pivotButton="0" quotePrefix="0" xfId="0"/>
    <xf numFmtId="10" fontId="3" fillId="0" borderId="0" pivotButton="0" quotePrefix="0" xfId="0"/>
    <xf numFmtId="164" fontId="3" fillId="0" borderId="0" pivotButton="0" quotePrefix="0" xfId="0"/>
    <xf numFmtId="0" fontId="2" fillId="3" borderId="0" pivotButton="0" quotePrefix="0" xfId="0"/>
    <xf numFmtId="0" fontId="0" fillId="3" borderId="0" pivotButton="0" quotePrefix="0" xfId="0"/>
    <xf numFmtId="0" fontId="2" fillId="2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164" fontId="0" fillId="0" borderId="1" pivotButton="0" quotePrefix="0" xfId="0"/>
    <xf numFmtId="4" fontId="0" fillId="0" borderId="1" pivotButton="0" quotePrefix="0" xfId="0"/>
    <xf numFmtId="0" fontId="1" fillId="4" borderId="1" pivotButton="0" quotePrefix="0" xfId="0"/>
    <xf numFmtId="0" fontId="0" fillId="4" borderId="1" pivotButton="0" quotePrefix="0" xfId="0"/>
    <xf numFmtId="3" fontId="0" fillId="4" borderId="1" pivotButton="0" quotePrefix="0" xfId="0"/>
    <xf numFmtId="164" fontId="3" fillId="0" borderId="0" pivotButton="0" quotePrefix="0" xfId="0"/>
    <xf numFmtId="164" fontId="0" fillId="0" borderId="1" pivotButton="0" quotePrefix="0" xfId="0"/>
    <xf numFmtId="0" fontId="4" fillId="0" borderId="0" pivotButton="0" quotePrefix="0" xfId="0"/>
    <xf numFmtId="0" fontId="1" fillId="3" borderId="0" pivotButton="0" quotePrefix="0" xfId="0"/>
    <xf numFmtId="0" fontId="0" fillId="0" borderId="1" pivotButton="0" quotePrefix="0" xfId="0"/>
    <xf numFmtId="0" fontId="1" fillId="5" borderId="1" pivotButton="0" quotePrefix="0" xfId="0"/>
    <xf numFmtId="0" fontId="0" fillId="5" borderId="1" pivotButton="0" quotePrefix="0" xfId="0"/>
    <xf numFmtId="4" fontId="1" fillId="5" borderId="1" pivotButton="0" quotePrefix="0" xfId="0"/>
    <xf numFmtId="0" fontId="1" fillId="6" borderId="1" pivotButton="0" quotePrefix="0" xfId="0"/>
    <xf numFmtId="4" fontId="3" fillId="0" borderId="0" pivotButton="0" quotePrefix="0" xfId="0"/>
    <xf numFmtId="165" fontId="0" fillId="0" borderId="0" pivotButton="0" quotePrefix="0" xfId="0"/>
    <xf numFmtId="4" fontId="0" fillId="3" borderId="0" pivotButton="0" quotePrefix="0" xfId="0"/>
    <xf numFmtId="165" fontId="0" fillId="0" borderId="1" pivotButton="0" quotePrefix="0" xfId="0"/>
    <xf numFmtId="0" fontId="2" fillId="2" borderId="1" pivotButton="0" quotePrefix="0" xfId="0"/>
    <xf numFmtId="4" fontId="5" fillId="0" borderId="0" pivotButton="0" quotePrefix="0" xfId="0"/>
    <xf numFmtId="165" fontId="0" fillId="0" borderId="0" pivotButton="0" quotePrefix="0" xfId="0"/>
    <xf numFmtId="165" fontId="0" fillId="0" borderId="1" pivotButton="0" quotePrefix="0" xfId="0"/>
    <xf numFmtId="165" fontId="0" fillId="3" borderId="0" pivotButton="0" quotePrefix="0" xfId="0"/>
    <xf numFmtId="166" fontId="0" fillId="3" borderId="0" pivotButton="0" quotePrefix="0" xfId="0"/>
    <xf numFmtId="0" fontId="1" fillId="7" borderId="1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7" fontId="0" fillId="0" borderId="0" pivotButton="0" quotePrefix="0" xfId="0"/>
    <xf numFmtId="4" fontId="0" fillId="0" borderId="0" pivotButton="0" quotePrefix="0" xfId="0"/>
    <xf numFmtId="0" fontId="1" fillId="7" borderId="1" pivotButton="0" quotePrefix="0" xfId="0"/>
    <xf numFmtId="166" fontId="0" fillId="3" borderId="0" pivotButton="0" quotePrefix="0" xfId="0"/>
    <xf numFmtId="167" fontId="0" fillId="0" borderId="0" pivotButton="0" quotePrefix="0" xfId="0"/>
    <xf numFmtId="0" fontId="6" fillId="0" borderId="0" pivotButton="0" quotePrefix="0" xfId="0"/>
    <xf numFmtId="165" fontId="6" fillId="0" borderId="0" pivotButton="0" quotePrefix="0" xfId="0"/>
    <xf numFmtId="4" fontId="6" fillId="0" borderId="0" pivotButton="0" quotePrefix="0" xfId="0"/>
    <xf numFmtId="0" fontId="2" fillId="2" borderId="0" applyAlignment="1" pivotButton="0" quotePrefix="0" xfId="0">
      <alignment horizontal="center"/>
    </xf>
    <xf numFmtId="0" fontId="7" fillId="3" borderId="0" pivotButton="0" quotePrefix="0" xfId="0"/>
    <xf numFmtId="0" fontId="8" fillId="8" borderId="1" applyAlignment="1" pivotButton="0" quotePrefix="0" xfId="0">
      <alignment horizontal="center"/>
    </xf>
    <xf numFmtId="0" fontId="9" fillId="0" borderId="0" pivotButton="0" quotePrefix="0" xfId="0"/>
    <xf numFmtId="0" fontId="1" fillId="0" borderId="0" applyAlignment="1" pivotButton="0" quotePrefix="0" xfId="0">
      <alignment horizontal="center"/>
    </xf>
    <xf numFmtId="0" fontId="8" fillId="2" borderId="0" pivotButton="0" quotePrefix="0" xfId="0"/>
    <xf numFmtId="165" fontId="3" fillId="0" borderId="0" pivotButton="0" quotePrefix="0" xfId="0"/>
    <xf numFmtId="0" fontId="8" fillId="3" borderId="0" pivotButton="0" quotePrefix="0" xfId="0"/>
    <xf numFmtId="0" fontId="8" fillId="2" borderId="1" applyAlignment="1" pivotButton="0" quotePrefix="0" xfId="0">
      <alignment horizontal="center"/>
    </xf>
    <xf numFmtId="0" fontId="8" fillId="9" borderId="0" pivotButton="0" quotePrefix="0" xfId="0"/>
    <xf numFmtId="0" fontId="0" fillId="9" borderId="0" pivotButton="0" quotePrefix="0" xfId="0"/>
    <xf numFmtId="0" fontId="1" fillId="9" borderId="1" applyAlignment="1" pivotButton="0" quotePrefix="0" xfId="0">
      <alignment horizontal="center"/>
    </xf>
    <xf numFmtId="0" fontId="0" fillId="9" borderId="1" applyAlignment="1" pivotButton="0" quotePrefix="0" xfId="0">
      <alignment horizontal="center"/>
    </xf>
    <xf numFmtId="3" fontId="0" fillId="9" borderId="1" pivotButton="0" quotePrefix="0" xfId="0"/>
    <xf numFmtId="3" fontId="10" fillId="0" borderId="0" pivotButton="0" quotePrefix="0" xfId="0"/>
    <xf numFmtId="0" fontId="11" fillId="0" borderId="0" pivotButton="0" quotePrefix="0" xfId="0"/>
    <xf numFmtId="0" fontId="7" fillId="0" borderId="0" pivotButton="0" quotePrefix="0" xfId="0"/>
    <xf numFmtId="0" fontId="12" fillId="7" borderId="1" applyAlignment="1" pivotButton="0" quotePrefix="0" xfId="0">
      <alignment horizontal="center"/>
    </xf>
    <xf numFmtId="3" fontId="3" fillId="0" borderId="1" pivotButton="0" quotePrefix="0" xfId="0"/>
    <xf numFmtId="3" fontId="6" fillId="0" borderId="1" pivotButton="0" quotePrefix="0" xfId="0"/>
    <xf numFmtId="0" fontId="1" fillId="0" borderId="1" pivotButton="0" quotePrefix="0" xfId="0"/>
    <xf numFmtId="0" fontId="9" fillId="0" borderId="1" pivotButton="0" quotePrefix="0" xfId="0"/>
    <xf numFmtId="3" fontId="1" fillId="0" borderId="1" pivotButton="0" quotePrefix="0" xfId="0"/>
    <xf numFmtId="0" fontId="2" fillId="10" borderId="0" pivotButton="0" quotePrefix="0" xfId="0"/>
    <xf numFmtId="0" fontId="0" fillId="10" borderId="0" pivotButton="0" quotePrefix="0" xfId="0"/>
    <xf numFmtId="3" fontId="5" fillId="0" borderId="1" pivotButton="0" quotePrefix="0" xfId="0"/>
    <xf numFmtId="0" fontId="0" fillId="3" borderId="1" pivotButton="0" quotePrefix="0" xfId="0"/>
    <xf numFmtId="168" fontId="6" fillId="3" borderId="1" pivotButton="0" quotePrefix="0" xfId="0"/>
    <xf numFmtId="3" fontId="3" fillId="3" borderId="1" pivotButton="0" quotePrefix="0" xfId="0"/>
    <xf numFmtId="3" fontId="6" fillId="3" borderId="1" pivotButton="0" quotePrefix="0" xfId="0"/>
    <xf numFmtId="3" fontId="0" fillId="0" borderId="0" pivotButton="0" quotePrefix="0" xfId="0"/>
    <xf numFmtId="3" fontId="5" fillId="0" borderId="0" pivotButton="0" quotePrefix="0" xfId="0"/>
    <xf numFmtId="0" fontId="13" fillId="0" borderId="0" pivotButton="0" quotePrefix="0" xfId="0"/>
    <xf numFmtId="0" fontId="14" fillId="0" borderId="0" pivotButton="0" quotePrefix="0" xfId="0"/>
    <xf numFmtId="0" fontId="0" fillId="9" borderId="1" pivotButton="0" quotePrefix="0" xfId="0"/>
    <xf numFmtId="4" fontId="0" fillId="9" borderId="1" pivotButton="0" quotePrefix="0" xfId="0"/>
    <xf numFmtId="0" fontId="1" fillId="0" borderId="1" applyAlignment="1" pivotButton="0" quotePrefix="0" xfId="0">
      <alignment horizontal="center"/>
    </xf>
    <xf numFmtId="0" fontId="2" fillId="8" borderId="0" pivotButton="0" quotePrefix="0" xfId="0"/>
    <xf numFmtId="0" fontId="15" fillId="0" borderId="0" pivotButton="0" quotePrefix="0" xfId="0"/>
    <xf numFmtId="3" fontId="0" fillId="0" borderId="1" pivotButton="0" quotePrefix="0" xfId="0"/>
    <xf numFmtId="3" fontId="6" fillId="11" borderId="1" pivotButton="0" quotePrefix="0" xfId="0"/>
    <xf numFmtId="3" fontId="5" fillId="3" borderId="1" pivotButton="0" quotePrefix="0" xfId="0"/>
    <xf numFmtId="0" fontId="16" fillId="8" borderId="0" pivotButton="0" quotePrefix="0" xfId="0"/>
    <xf numFmtId="0" fontId="17" fillId="0" borderId="0" pivotButton="0" quotePrefix="0" xfId="0"/>
    <xf numFmtId="0" fontId="8" fillId="12" borderId="1" applyAlignment="1" pivotButton="0" quotePrefix="0" xfId="0">
      <alignment horizontal="center" wrapText="1"/>
    </xf>
    <xf numFmtId="0" fontId="1" fillId="13" borderId="1" pivotButton="0" quotePrefix="0" xfId="0"/>
    <xf numFmtId="0" fontId="0" fillId="0" borderId="4" pivotButton="0" quotePrefix="0" xfId="0"/>
    <xf numFmtId="0" fontId="0" fillId="0" borderId="5" pivotButton="0" quotePrefix="0" xfId="0"/>
    <xf numFmtId="10" fontId="5" fillId="0" borderId="1" pivotButton="0" quotePrefix="0" xfId="0"/>
    <xf numFmtId="3" fontId="1" fillId="4" borderId="1" pivotButton="0" quotePrefix="0" xfId="0"/>
    <xf numFmtId="0" fontId="18" fillId="8" borderId="1" pivotButton="0" quotePrefix="0" xfId="0"/>
    <xf numFmtId="0" fontId="0" fillId="8" borderId="1" pivotButton="0" quotePrefix="0" xfId="0"/>
    <xf numFmtId="3" fontId="18" fillId="8" borderId="1" pivotButton="0" quotePrefix="0" xfId="0"/>
    <xf numFmtId="0" fontId="7" fillId="14" borderId="0" pivotButton="0" quotePrefix="0" xfId="0"/>
    <xf numFmtId="0" fontId="19" fillId="0" borderId="0" pivotButton="0" quotePrefix="0" xfId="0"/>
    <xf numFmtId="0" fontId="20" fillId="0" borderId="0" pivotButton="0" quotePrefix="0" xfId="0"/>
    <xf numFmtId="0" fontId="2" fillId="10" borderId="0" applyAlignment="1" pivotButton="0" quotePrefix="0" xfId="0">
      <alignment horizontal="center"/>
    </xf>
    <xf numFmtId="0" fontId="2" fillId="15" borderId="0" pivotButton="0" quotePrefix="0" xfId="0"/>
    <xf numFmtId="0" fontId="0" fillId="15" borderId="0" pivotButton="0" quotePrefix="0" xfId="0"/>
    <xf numFmtId="3" fontId="1" fillId="0" borderId="0" pivotButton="0" quotePrefix="0" xfId="0"/>
    <xf numFmtId="0" fontId="2" fillId="16" borderId="0" pivotButton="0" quotePrefix="0" xfId="0"/>
    <xf numFmtId="0" fontId="21" fillId="0" borderId="0" pivotButton="0" quotePrefix="0" xfId="0"/>
    <xf numFmtId="0" fontId="1" fillId="17" borderId="0" pivotButton="0" quotePrefix="0" xfId="0"/>
    <xf numFmtId="168" fontId="3" fillId="4" borderId="0" pivotButton="0" quotePrefix="0" xfId="0"/>
    <xf numFmtId="168" fontId="6" fillId="3" borderId="0" pivotButton="0" quotePrefix="0" xfId="0"/>
    <xf numFmtId="3" fontId="0" fillId="3" borderId="0" pivotButton="0" quotePrefix="0" xfId="0"/>
    <xf numFmtId="168" fontId="5" fillId="0" borderId="0" pivotButton="0" quotePrefix="0" xfId="0"/>
    <xf numFmtId="168" fontId="0" fillId="3" borderId="0" pivotButton="0" quotePrefix="0" xfId="0"/>
    <xf numFmtId="168" fontId="0" fillId="0" borderId="0" pivotButton="0" quotePrefix="0" xfId="0"/>
    <xf numFmtId="3" fontId="3" fillId="4" borderId="0" pivotButton="0" quotePrefix="0" xfId="0"/>
    <xf numFmtId="0" fontId="3" fillId="4" borderId="0" pivotButton="0" quotePrefix="0" xfId="0"/>
    <xf numFmtId="3" fontId="6" fillId="0" borderId="0" pivotButton="0" quotePrefix="0" xfId="0"/>
    <xf numFmtId="0" fontId="22" fillId="18" borderId="0" pivotButton="0" quotePrefix="0" xfId="0"/>
    <xf numFmtId="0" fontId="0" fillId="18" borderId="0" pivotButton="0" quotePrefix="0" xfId="0"/>
    <xf numFmtId="0" fontId="1" fillId="19" borderId="0" applyAlignment="1" pivotButton="0" quotePrefix="0" xfId="0">
      <alignment horizontal="center"/>
    </xf>
    <xf numFmtId="0" fontId="1" fillId="19" borderId="0" pivotButton="0" quotePrefix="0" xfId="0"/>
    <xf numFmtId="0" fontId="2" fillId="20" borderId="0" pivotButton="0" quotePrefix="0" xfId="0"/>
    <xf numFmtId="0" fontId="0" fillId="20" borderId="0" pivotButton="0" quotePrefix="0" xfId="0"/>
    <xf numFmtId="0" fontId="23" fillId="3" borderId="0" pivotButton="0" quotePrefix="0" xfId="0"/>
    <xf numFmtId="3" fontId="5" fillId="11" borderId="0" pivotButton="0" quotePrefix="0" xfId="0"/>
    <xf numFmtId="0" fontId="1" fillId="17" borderId="1" pivotButton="0" quotePrefix="0" xfId="0"/>
    <xf numFmtId="0" fontId="2" fillId="21" borderId="0" pivotButton="0" quotePrefix="0" xfId="0"/>
    <xf numFmtId="0" fontId="0" fillId="21" borderId="0" pivotButton="0" quotePrefix="0" xfId="0"/>
    <xf numFmtId="3" fontId="5" fillId="3" borderId="0" pivotButton="0" quotePrefix="0" xfId="0"/>
    <xf numFmtId="3" fontId="1" fillId="3" borderId="1" pivotButton="0" quotePrefix="0" xfId="0"/>
    <xf numFmtId="169" fontId="0" fillId="0" borderId="0" pivotButton="0" quotePrefix="0" xfId="0"/>
    <xf numFmtId="169" fontId="5" fillId="0" borderId="0" pivotButton="0" quotePrefix="0" xfId="0"/>
    <xf numFmtId="0" fontId="2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25" fillId="17" borderId="0" applyAlignment="1" pivotButton="0" quotePrefix="0" xfId="0">
      <alignment horizontal="center" vertical="center"/>
    </xf>
    <xf numFmtId="0" fontId="26" fillId="0" borderId="0" applyAlignment="1" pivotButton="0" quotePrefix="0" xfId="0">
      <alignment horizontal="left" vertical="center"/>
    </xf>
    <xf numFmtId="0" fontId="27" fillId="0" borderId="0" applyAlignment="1" pivotButton="0" quotePrefix="0" xfId="0">
      <alignment horizontal="left" vertical="center"/>
    </xf>
    <xf numFmtId="0" fontId="28" fillId="0" borderId="6" applyAlignment="1" pivotButton="0" quotePrefix="0" xfId="0">
      <alignment horizontal="left" vertical="center"/>
    </xf>
    <xf numFmtId="0" fontId="29" fillId="0" borderId="0" applyAlignment="1" pivotButton="0" quotePrefix="0" xfId="0">
      <alignment horizontal="left" vertical="top" wrapText="1"/>
    </xf>
    <xf numFmtId="0" fontId="30" fillId="0" borderId="0" applyAlignment="1" pivotButton="0" quotePrefix="0" xfId="0">
      <alignment horizontal="left" vertical="center"/>
    </xf>
    <xf numFmtId="0" fontId="31" fillId="0" borderId="0" applyAlignment="1" pivotButton="0" quotePrefix="0" xfId="0">
      <alignment horizontal="center" vertical="center"/>
    </xf>
    <xf numFmtId="0" fontId="32" fillId="0" borderId="0" applyAlignment="1" pivotButton="0" quotePrefix="0" xfId="0">
      <alignment horizontal="left" vertical="center"/>
    </xf>
    <xf numFmtId="0" fontId="0" fillId="0" borderId="7" pivotButton="0" quotePrefix="0" xfId="0"/>
    <xf numFmtId="0" fontId="33" fillId="0" borderId="0" applyAlignment="1" pivotButton="0" quotePrefix="0" xfId="0">
      <alignment horizontal="center" vertical="center"/>
    </xf>
    <xf numFmtId="0" fontId="34" fillId="0" borderId="0" applyAlignment="1" pivotButton="0" quotePrefix="0" xfId="0">
      <alignment horizontal="center" vertical="center"/>
    </xf>
    <xf numFmtId="0" fontId="0" fillId="0" borderId="8" pivotButton="0" quotePrefix="0" xfId="0"/>
    <xf numFmtId="0" fontId="22" fillId="2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8" fillId="22" borderId="1" applyAlignment="1" pivotButton="0" quotePrefix="0" xfId="0">
      <alignment horizontal="center" vertical="center"/>
    </xf>
    <xf numFmtId="0" fontId="35" fillId="23" borderId="1" applyAlignment="1" pivotButton="0" quotePrefix="0" xfId="0">
      <alignment horizontal="left" vertical="center"/>
    </xf>
    <xf numFmtId="0" fontId="0" fillId="25" borderId="1" applyAlignment="1" pivotButton="0" quotePrefix="0" xfId="0">
      <alignment horizontal="center"/>
    </xf>
    <xf numFmtId="0" fontId="0" fillId="25" borderId="1" pivotButton="0" quotePrefix="0" xfId="0"/>
    <xf numFmtId="0" fontId="36" fillId="24" borderId="1" applyAlignment="1" pivotButton="0" quotePrefix="0" xfId="0">
      <alignment horizontal="center"/>
    </xf>
    <xf numFmtId="0" fontId="37" fillId="25" borderId="1" applyAlignment="1" pivotButton="0" quotePrefix="0" xfId="0">
      <alignment horizontal="center"/>
    </xf>
    <xf numFmtId="0" fontId="38" fillId="26" borderId="1" applyAlignment="1" pivotButton="0" quotePrefix="0" xfId="0">
      <alignment horizontal="center"/>
    </xf>
    <xf numFmtId="0" fontId="39" fillId="27" borderId="1" applyAlignment="1" pivotButton="0" quotePrefix="0" xfId="0">
      <alignment horizontal="center"/>
    </xf>
    <xf numFmtId="0" fontId="40" fillId="25" borderId="1" applyAlignment="1" pivotButton="0" quotePrefix="0" xfId="0">
      <alignment horizontal="center"/>
    </xf>
    <xf numFmtId="0" fontId="41" fillId="25" borderId="1" applyAlignment="1" pivotButton="0" quotePrefix="0" xfId="0">
      <alignment horizontal="center"/>
    </xf>
    <xf numFmtId="0" fontId="42" fillId="0" borderId="0" applyAlignment="1" pivotButton="0" quotePrefix="0" xfId="0">
      <alignment horizontal="center"/>
    </xf>
    <xf numFmtId="0" fontId="43" fillId="0" borderId="0" applyAlignment="1" pivotButton="0" quotePrefix="0" xfId="0">
      <alignment horizontal="center"/>
    </xf>
    <xf numFmtId="1" fontId="3" fillId="0" borderId="0" pivotButton="0" quotePrefix="0" xfId="0"/>
    <xf numFmtId="0" fontId="28" fillId="0" borderId="9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worksheet" Target="/xl/worksheets/sheet21.xml" Id="rId21" /><Relationship Type="http://schemas.openxmlformats.org/officeDocument/2006/relationships/worksheet" Target="/xl/worksheets/sheet22.xml" Id="rId22" /><Relationship Type="http://schemas.openxmlformats.org/officeDocument/2006/relationships/worksheet" Target="/xl/worksheets/sheet23.xml" Id="rId23" /><Relationship Type="http://schemas.openxmlformats.org/officeDocument/2006/relationships/worksheet" Target="/xl/worksheets/sheet24.xml" Id="rId24" /><Relationship Type="http://schemas.openxmlformats.org/officeDocument/2006/relationships/worksheet" Target="/xl/worksheets/sheet25.xml" Id="rId25" /><Relationship Type="http://schemas.openxmlformats.org/officeDocument/2006/relationships/worksheet" Target="/xl/worksheets/sheet26.xml" Id="rId26" /><Relationship Type="http://schemas.openxmlformats.org/officeDocument/2006/relationships/worksheet" Target="/xl/worksheets/sheet27.xml" Id="rId27" /><Relationship Type="http://schemas.openxmlformats.org/officeDocument/2006/relationships/worksheet" Target="/xl/worksheets/sheet28.xml" Id="rId28" /><Relationship Type="http://schemas.openxmlformats.org/officeDocument/2006/relationships/worksheet" Target="/xl/worksheets/sheet29.xml" Id="rId29" /><Relationship Type="http://schemas.openxmlformats.org/officeDocument/2006/relationships/worksheet" Target="/xl/worksheets/sheet30.xml" Id="rId30" /><Relationship Type="http://schemas.openxmlformats.org/officeDocument/2006/relationships/worksheet" Target="/xl/worksheets/sheet31.xml" Id="rId31" /><Relationship Type="http://schemas.openxmlformats.org/officeDocument/2006/relationships/worksheet" Target="/xl/worksheets/sheet32.xml" Id="rId32" /><Relationship Type="http://schemas.openxmlformats.org/officeDocument/2006/relationships/worksheet" Target="/xl/worksheets/sheet33.xml" Id="rId33" /><Relationship Type="http://schemas.openxmlformats.org/officeDocument/2006/relationships/worksheet" Target="/xl/worksheets/sheet34.xml" Id="rId34" /><Relationship Type="http://schemas.openxmlformats.org/officeDocument/2006/relationships/worksheet" Target="/xl/worksheets/sheet35.xml" Id="rId35" /><Relationship Type="http://schemas.openxmlformats.org/officeDocument/2006/relationships/worksheet" Target="/xl/worksheets/sheet36.xml" Id="rId36" /><Relationship Type="http://schemas.openxmlformats.org/officeDocument/2006/relationships/worksheet" Target="/xl/worksheets/sheet37.xml" Id="rId37" /><Relationship Type="http://schemas.openxmlformats.org/officeDocument/2006/relationships/worksheet" Target="/xl/worksheets/sheet38.xml" Id="rId38" /><Relationship Type="http://schemas.openxmlformats.org/officeDocument/2006/relationships/worksheet" Target="/xl/worksheets/sheet39.xml" Id="rId39" /><Relationship Type="http://schemas.openxmlformats.org/officeDocument/2006/relationships/worksheet" Target="/xl/worksheets/sheet40.xml" Id="rId40" /><Relationship Type="http://schemas.openxmlformats.org/officeDocument/2006/relationships/worksheet" Target="/xl/worksheets/sheet41.xml" Id="rId41" /><Relationship Type="http://schemas.openxmlformats.org/officeDocument/2006/relationships/worksheet" Target="/xl/worksheets/sheet42.xml" Id="rId42" /><Relationship Type="http://schemas.openxmlformats.org/officeDocument/2006/relationships/worksheet" Target="/xl/worksheets/sheet43.xml" Id="rId43" /><Relationship Type="http://schemas.openxmlformats.org/officeDocument/2006/relationships/worksheet" Target="/xl/worksheets/sheet44.xml" Id="rId44" /><Relationship Type="http://schemas.openxmlformats.org/officeDocument/2006/relationships/worksheet" Target="/xl/worksheets/sheet45.xml" Id="rId45" /><Relationship Type="http://schemas.openxmlformats.org/officeDocument/2006/relationships/worksheet" Target="/xl/worksheets/sheet46.xml" Id="rId46" /><Relationship Type="http://schemas.openxmlformats.org/officeDocument/2006/relationships/worksheet" Target="/xl/worksheets/sheet47.xml" Id="rId47" /><Relationship Type="http://schemas.openxmlformats.org/officeDocument/2006/relationships/worksheet" Target="/xl/worksheets/sheet48.xml" Id="rId48" /><Relationship Type="http://schemas.openxmlformats.org/officeDocument/2006/relationships/worksheet" Target="/xl/worksheets/sheet49.xml" Id="rId49" /><Relationship Type="http://schemas.openxmlformats.org/officeDocument/2006/relationships/worksheet" Target="/xl/worksheets/sheet50.xml" Id="rId50" /><Relationship Type="http://schemas.openxmlformats.org/officeDocument/2006/relationships/worksheet" Target="/xl/worksheets/sheet51.xml" Id="rId51" /><Relationship Type="http://schemas.openxmlformats.org/officeDocument/2006/relationships/worksheet" Target="/xl/worksheets/sheet52.xml" Id="rId52" /><Relationship Type="http://schemas.openxmlformats.org/officeDocument/2006/relationships/worksheet" Target="/xl/worksheets/sheet53.xml" Id="rId53" /><Relationship Type="http://schemas.openxmlformats.org/officeDocument/2006/relationships/worksheet" Target="/xl/worksheets/sheet54.xml" Id="rId54" /><Relationship Type="http://schemas.openxmlformats.org/officeDocument/2006/relationships/worksheet" Target="/xl/worksheets/sheet55.xml" Id="rId55" /><Relationship Type="http://schemas.openxmlformats.org/officeDocument/2006/relationships/worksheet" Target="/xl/worksheets/sheet56.xml" Id="rId56" /><Relationship Type="http://schemas.openxmlformats.org/officeDocument/2006/relationships/worksheet" Target="/xl/worksheets/sheet57.xml" Id="rId57" /><Relationship Type="http://schemas.openxmlformats.org/officeDocument/2006/relationships/worksheet" Target="/xl/worksheets/sheet58.xml" Id="rId58" /><Relationship Type="http://schemas.openxmlformats.org/officeDocument/2006/relationships/worksheet" Target="/xl/worksheets/sheet59.xml" Id="rId59" /><Relationship Type="http://schemas.openxmlformats.org/officeDocument/2006/relationships/worksheet" Target="/xl/worksheets/sheet60.xml" Id="rId60" /><Relationship Type="http://schemas.openxmlformats.org/officeDocument/2006/relationships/worksheet" Target="/xl/worksheets/sheet61.xml" Id="rId61" /><Relationship Type="http://schemas.openxmlformats.org/officeDocument/2006/relationships/worksheet" Target="/xl/worksheets/sheet62.xml" Id="rId62" /><Relationship Type="http://schemas.openxmlformats.org/officeDocument/2006/relationships/worksheet" Target="/xl/worksheets/sheet63.xml" Id="rId63" /><Relationship Type="http://schemas.openxmlformats.org/officeDocument/2006/relationships/worksheet" Target="/xl/worksheets/sheet64.xml" Id="rId64" /><Relationship Type="http://schemas.openxmlformats.org/officeDocument/2006/relationships/worksheet" Target="/xl/worksheets/sheet65.xml" Id="rId65" /><Relationship Type="http://schemas.openxmlformats.org/officeDocument/2006/relationships/worksheet" Target="/xl/worksheets/sheet66.xml" Id="rId66" /><Relationship Type="http://schemas.openxmlformats.org/officeDocument/2006/relationships/worksheet" Target="/xl/worksheets/sheet67.xml" Id="rId67" /><Relationship Type="http://schemas.openxmlformats.org/officeDocument/2006/relationships/worksheet" Target="/xl/worksheets/sheet68.xml" Id="rId68" /><Relationship Type="http://schemas.openxmlformats.org/officeDocument/2006/relationships/worksheet" Target="/xl/worksheets/sheet69.xml" Id="rId69" /><Relationship Type="http://schemas.openxmlformats.org/officeDocument/2006/relationships/worksheet" Target="/xl/worksheets/sheet70.xml" Id="rId70" /><Relationship Type="http://schemas.openxmlformats.org/officeDocument/2006/relationships/worksheet" Target="/xl/worksheets/sheet71.xml" Id="rId71" /><Relationship Type="http://schemas.openxmlformats.org/officeDocument/2006/relationships/worksheet" Target="/xl/worksheets/sheet72.xml" Id="rId72" /><Relationship Type="http://schemas.openxmlformats.org/officeDocument/2006/relationships/worksheet" Target="/xl/worksheets/sheet73.xml" Id="rId73" /><Relationship Type="http://schemas.openxmlformats.org/officeDocument/2006/relationships/worksheet" Target="/xl/worksheets/sheet74.xml" Id="rId74" /><Relationship Type="http://schemas.openxmlformats.org/officeDocument/2006/relationships/worksheet" Target="/xl/worksheets/sheet75.xml" Id="rId75" /><Relationship Type="http://schemas.openxmlformats.org/officeDocument/2006/relationships/worksheet" Target="/xl/worksheets/sheet76.xml" Id="rId76" /><Relationship Type="http://schemas.openxmlformats.org/officeDocument/2006/relationships/worksheet" Target="/xl/worksheets/sheet77.xml" Id="rId77" /><Relationship Type="http://schemas.openxmlformats.org/officeDocument/2006/relationships/worksheet" Target="/xl/worksheets/sheet78.xml" Id="rId78" /><Relationship Type="http://schemas.openxmlformats.org/officeDocument/2006/relationships/worksheet" Target="/xl/worksheets/sheet79.xml" Id="rId79" /><Relationship Type="http://schemas.openxmlformats.org/officeDocument/2006/relationships/worksheet" Target="/xl/worksheets/sheet80.xml" Id="rId80" /><Relationship Type="http://schemas.openxmlformats.org/officeDocument/2006/relationships/worksheet" Target="/xl/worksheets/sheet81.xml" Id="rId81" /><Relationship Type="http://schemas.openxmlformats.org/officeDocument/2006/relationships/worksheet" Target="/xl/worksheets/sheet82.xml" Id="rId82" /><Relationship Type="http://schemas.openxmlformats.org/officeDocument/2006/relationships/worksheet" Target="/xl/worksheets/sheet83.xml" Id="rId83" /><Relationship Type="http://schemas.openxmlformats.org/officeDocument/2006/relationships/worksheet" Target="/xl/worksheets/sheet84.xml" Id="rId84" /><Relationship Type="http://schemas.openxmlformats.org/officeDocument/2006/relationships/worksheet" Target="/xl/worksheets/sheet85.xml" Id="rId85" /><Relationship Type="http://schemas.openxmlformats.org/officeDocument/2006/relationships/worksheet" Target="/xl/worksheets/sheet86.xml" Id="rId86" /><Relationship Type="http://schemas.openxmlformats.org/officeDocument/2006/relationships/worksheet" Target="/xl/worksheets/sheet87.xml" Id="rId87" /><Relationship Type="http://schemas.openxmlformats.org/officeDocument/2006/relationships/worksheet" Target="/xl/worksheets/sheet88.xml" Id="rId88" /><Relationship Type="http://schemas.openxmlformats.org/officeDocument/2006/relationships/worksheet" Target="/xl/worksheets/sheet89.xml" Id="rId89" /><Relationship Type="http://schemas.openxmlformats.org/officeDocument/2006/relationships/worksheet" Target="/xl/worksheets/sheet90.xml" Id="rId90" /><Relationship Type="http://schemas.openxmlformats.org/officeDocument/2006/relationships/worksheet" Target="/xl/worksheets/sheet91.xml" Id="rId91" /><Relationship Type="http://schemas.openxmlformats.org/officeDocument/2006/relationships/worksheet" Target="/xl/worksheets/sheet92.xml" Id="rId92" /><Relationship Type="http://schemas.openxmlformats.org/officeDocument/2006/relationships/worksheet" Target="/xl/worksheets/sheet93.xml" Id="rId93" /><Relationship Type="http://schemas.openxmlformats.org/officeDocument/2006/relationships/worksheet" Target="/xl/worksheets/sheet94.xml" Id="rId94" /><Relationship Type="http://schemas.openxmlformats.org/officeDocument/2006/relationships/worksheet" Target="/xl/worksheets/sheet95.xml" Id="rId95" /><Relationship Type="http://schemas.openxmlformats.org/officeDocument/2006/relationships/styles" Target="styles.xml" Id="rId96" /><Relationship Type="http://schemas.openxmlformats.org/officeDocument/2006/relationships/theme" Target="theme/theme1.xml" Id="rId97" /></Relationships>
</file>

<file path=xl/comments/comment1.xml><?xml version="1.0" encoding="utf-8"?>
<comments xmlns="http://schemas.openxmlformats.org/spreadsheetml/2006/main">
  <authors>
    <author>Model Builder</author>
  </authors>
  <commentList>
    <comment ref="B7" authorId="0" shapeId="0">
      <text>
        <t>Links to: Income Statement row 6 - Total Revenue</t>
      </text>
    </comment>
    <comment ref="C7" authorId="0" shapeId="0">
      <text>
        <t>Links to: Income Statement row 6 - Total Revenue</t>
      </text>
    </comment>
    <comment ref="D7" authorId="0" shapeId="0">
      <text>
        <t>Links to: Income Statement row 6 - Total Revenue</t>
      </text>
    </comment>
    <comment ref="E7" authorId="0" shapeId="0">
      <text>
        <t>Links to: Income Statement row 6 - Total Revenue</t>
      </text>
    </comment>
    <comment ref="F7" authorId="0" shapeId="0">
      <text>
        <t>Links to: Income Statement row 6 - Total Revenue</t>
      </text>
    </comment>
    <comment ref="G7" authorId="0" shapeId="0">
      <text>
        <t>Links to: Income Statement row 6 - Total Revenue</t>
      </text>
    </comment>
    <comment ref="H7" authorId="0" shapeId="0">
      <text>
        <t>Links to: Income Statement row 6 - Total Revenue</t>
      </text>
    </comment>
    <comment ref="B9" authorId="0" shapeId="0">
      <text>
        <t>Links to: Income Statement row 10 - Gross Profit</t>
      </text>
    </comment>
    <comment ref="C9" authorId="0" shapeId="0">
      <text>
        <t>Links to: Income Statement row 10 - Gross Profit</t>
      </text>
    </comment>
    <comment ref="D9" authorId="0" shapeId="0">
      <text>
        <t>Links to: Income Statement row 10 - Gross Profit</t>
      </text>
    </comment>
    <comment ref="E9" authorId="0" shapeId="0">
      <text>
        <t>Links to: Income Statement row 10 - Gross Profit</t>
      </text>
    </comment>
    <comment ref="F9" authorId="0" shapeId="0">
      <text>
        <t>Links to: Income Statement row 10 - Gross Profit</t>
      </text>
    </comment>
    <comment ref="G9" authorId="0" shapeId="0">
      <text>
        <t>Links to: Income Statement row 10 - Gross Profit</t>
      </text>
    </comment>
    <comment ref="H9" authorId="0" shapeId="0">
      <text>
        <t>Links to: Income Statement row 10 - Gross Profit</t>
      </text>
    </comment>
    <comment ref="B11" authorId="0" shapeId="0">
      <text>
        <t>Links to: Income Statement row 14 - EBITDA</t>
      </text>
    </comment>
    <comment ref="C11" authorId="0" shapeId="0">
      <text>
        <t>Links to: Income Statement row 14 - EBITDA</t>
      </text>
    </comment>
    <comment ref="D11" authorId="0" shapeId="0">
      <text>
        <t>Links to: Income Statement row 14 - EBITDA</t>
      </text>
    </comment>
    <comment ref="E11" authorId="0" shapeId="0">
      <text>
        <t>Links to: Income Statement row 14 - EBITDA</t>
      </text>
    </comment>
    <comment ref="F11" authorId="0" shapeId="0">
      <text>
        <t>Links to: Income Statement row 14 - EBITDA</t>
      </text>
    </comment>
    <comment ref="G11" authorId="0" shapeId="0">
      <text>
        <t>Links to: Income Statement row 14 - EBITDA</t>
      </text>
    </comment>
    <comment ref="H11" authorId="0" shapeId="0">
      <text>
        <t>Links to: Income Statement row 14 - EBITDA</t>
      </text>
    </comment>
    <comment ref="B13" authorId="0" shapeId="0">
      <text>
        <t>Links to: Income Statement row 29 - Net Income</t>
      </text>
    </comment>
    <comment ref="C13" authorId="0" shapeId="0">
      <text>
        <t>Links to: Income Statement row 29 - Net Income</t>
      </text>
    </comment>
    <comment ref="D13" authorId="0" shapeId="0">
      <text>
        <t>Links to: Income Statement row 29 - Net Income</t>
      </text>
    </comment>
    <comment ref="E13" authorId="0" shapeId="0">
      <text>
        <t>Links to: Income Statement row 29 - Net Income</t>
      </text>
    </comment>
    <comment ref="F13" authorId="0" shapeId="0">
      <text>
        <t>Links to: Income Statement row 29 - Net Income</t>
      </text>
    </comment>
    <comment ref="G13" authorId="0" shapeId="0">
      <text>
        <t>Links to: Income Statement row 29 - Net Income</t>
      </text>
    </comment>
    <comment ref="H13" authorId="0" shapeId="0">
      <text>
        <t>Links to: Income Statement row 29 - Net Income</t>
      </text>
    </comment>
    <comment ref="B18" authorId="0" shapeId="0">
      <text>
        <t>Links to: Balance Sheet row 28 - TOTAL ASSETS</t>
      </text>
    </comment>
    <comment ref="C18" authorId="0" shapeId="0">
      <text>
        <t>Links to: Balance Sheet row 28 - TOTAL ASSETS</t>
      </text>
    </comment>
    <comment ref="D18" authorId="0" shapeId="0">
      <text>
        <t>Links to: Balance Sheet row 28 - TOTAL ASSETS</t>
      </text>
    </comment>
    <comment ref="E18" authorId="0" shapeId="0">
      <text>
        <t>Links to: Balance Sheet row 28 - TOTAL ASSETS</t>
      </text>
    </comment>
    <comment ref="F18" authorId="0" shapeId="0">
      <text>
        <t>Links to: Balance Sheet row 28 - TOTAL ASSETS</t>
      </text>
    </comment>
    <comment ref="G18" authorId="0" shapeId="0">
      <text>
        <t>Links to: Balance Sheet row 28 - TOTAL ASSETS</t>
      </text>
    </comment>
    <comment ref="H18" authorId="0" shapeId="0">
      <text>
        <t>Links to: Balance Sheet row 28 - TOTAL ASSETS</t>
      </text>
    </comment>
    <comment ref="B19" authorId="0" shapeId="0">
      <text>
        <t>Links to: Balance Sheet row 7 - Cash</t>
      </text>
    </comment>
    <comment ref="C19" authorId="0" shapeId="0">
      <text>
        <t>Links to: Balance Sheet row 7 - Cash</t>
      </text>
    </comment>
    <comment ref="D19" authorId="0" shapeId="0">
      <text>
        <t>Links to: Balance Sheet row 7 - Cash</t>
      </text>
    </comment>
    <comment ref="E19" authorId="0" shapeId="0">
      <text>
        <t>Links to: Balance Sheet row 7 - Cash</t>
      </text>
    </comment>
    <comment ref="F19" authorId="0" shapeId="0">
      <text>
        <t>Links to: Balance Sheet row 7 - Cash</t>
      </text>
    </comment>
    <comment ref="G19" authorId="0" shapeId="0">
      <text>
        <t>Links to: Balance Sheet row 7 - Cash</t>
      </text>
    </comment>
    <comment ref="H19" authorId="0" shapeId="0">
      <text>
        <t>Links to: Balance Sheet row 7 - Cash</t>
      </text>
    </comment>
    <comment ref="B20" authorId="0" shapeId="0">
      <text>
        <t>Links to: Balance Sheet row 33 (Current Portion) + row 42 (LT Portion)</t>
      </text>
    </comment>
    <comment ref="C20" authorId="0" shapeId="0">
      <text>
        <t>Links to: Balance Sheet row 33 (Current Portion) + row 42 (LT Portion)</t>
      </text>
    </comment>
    <comment ref="D20" authorId="0" shapeId="0">
      <text>
        <t>Links to: Balance Sheet row 33 (Current Portion) + row 42 (LT Portion)</t>
      </text>
    </comment>
    <comment ref="E20" authorId="0" shapeId="0">
      <text>
        <t>Links to: Balance Sheet row 33 (Current Portion) + row 42 (LT Portion)</t>
      </text>
    </comment>
    <comment ref="F20" authorId="0" shapeId="0">
      <text>
        <t>Links to: Balance Sheet row 33 (Current Portion) + row 42 (LT Portion)</t>
      </text>
    </comment>
    <comment ref="G20" authorId="0" shapeId="0">
      <text>
        <t>Links to: Balance Sheet row 33 (Current Portion) + row 42 (LT Portion)</t>
      </text>
    </comment>
    <comment ref="H20" authorId="0" shapeId="0">
      <text>
        <t>Links to: Balance Sheet row 33 (Current Portion) + row 42 (LT Portion)</t>
      </text>
    </comment>
    <comment ref="B21" authorId="0" shapeId="0">
      <text>
        <t>Links to: Balance Sheet row 55 - TOTAL EQUITY</t>
      </text>
    </comment>
    <comment ref="C21" authorId="0" shapeId="0">
      <text>
        <t>Links to: Balance Sheet row 55 - TOTAL EQUITY</t>
      </text>
    </comment>
    <comment ref="D21" authorId="0" shapeId="0">
      <text>
        <t>Links to: Balance Sheet row 55 - TOTAL EQUITY</t>
      </text>
    </comment>
    <comment ref="E21" authorId="0" shapeId="0">
      <text>
        <t>Links to: Balance Sheet row 55 - TOTAL EQUITY</t>
      </text>
    </comment>
    <comment ref="F21" authorId="0" shapeId="0">
      <text>
        <t>Links to: Balance Sheet row 55 - TOTAL EQUITY</t>
      </text>
    </comment>
    <comment ref="G21" authorId="0" shapeId="0">
      <text>
        <t>Links to: Balance Sheet row 55 - TOTAL EQUITY</t>
      </text>
    </comment>
    <comment ref="H21" authorId="0" shapeId="0">
      <text>
        <t>Links to: Balance Sheet row 55 - TOTAL EQUITY</t>
      </text>
    </comment>
    <comment ref="B22" authorId="0" shapeId="0">
      <text>
        <t>Net Debt = Total Debt - Cash</t>
      </text>
    </comment>
    <comment ref="C22" authorId="0" shapeId="0">
      <text>
        <t>Net Debt = Total Debt - Cash</t>
      </text>
    </comment>
    <comment ref="D22" authorId="0" shapeId="0">
      <text>
        <t>Net Debt = Total Debt - Cash</t>
      </text>
    </comment>
    <comment ref="E22" authorId="0" shapeId="0">
      <text>
        <t>Net Debt = Total Debt - Cash</t>
      </text>
    </comment>
    <comment ref="F22" authorId="0" shapeId="0">
      <text>
        <t>Net Debt = Total Debt - Cash</t>
      </text>
    </comment>
    <comment ref="G22" authorId="0" shapeId="0">
      <text>
        <t>Net Debt = Total Debt - Cash</t>
      </text>
    </comment>
    <comment ref="H22" authorId="0" shapeId="0">
      <text>
        <t>Net Debt = Total Debt - Cash</t>
      </text>
    </comment>
    <comment ref="B23" authorId="0" shapeId="0">
      <text>
        <t>Links to: Balance Sheet row 13 (CA) - row 39 (CL)</t>
      </text>
    </comment>
    <comment ref="C23" authorId="0" shapeId="0">
      <text>
        <t>Links to: Balance Sheet row 13 (CA) - row 39 (CL)</t>
      </text>
    </comment>
    <comment ref="D23" authorId="0" shapeId="0">
      <text>
        <t>Links to: Balance Sheet row 13 (CA) - row 39 (CL)</t>
      </text>
    </comment>
    <comment ref="E23" authorId="0" shapeId="0">
      <text>
        <t>Links to: Balance Sheet row 13 (CA) - row 39 (CL)</t>
      </text>
    </comment>
    <comment ref="F23" authorId="0" shapeId="0">
      <text>
        <t>Links to: Balance Sheet row 13 (CA) - row 39 (CL)</t>
      </text>
    </comment>
    <comment ref="G23" authorId="0" shapeId="0">
      <text>
        <t>Links to: Balance Sheet row 13 (CA) - row 39 (CL)</t>
      </text>
    </comment>
    <comment ref="H23" authorId="0" shapeId="0">
      <text>
        <t>Links to: Balance Sheet row 13 (CA) - row 39 (CL)</t>
      </text>
    </comment>
    <comment ref="B28" authorId="0" shapeId="0">
      <text>
        <t>Current Ratio = Total Current Assets / Total Current Liabilities</t>
      </text>
    </comment>
    <comment ref="C28" authorId="0" shapeId="0">
      <text>
        <t>Current Ratio = Total Current Assets / Total Current Liabilities</t>
      </text>
    </comment>
    <comment ref="D28" authorId="0" shapeId="0">
      <text>
        <t>Current Ratio = Total Current Assets / Total Current Liabilities</t>
      </text>
    </comment>
    <comment ref="E28" authorId="0" shapeId="0">
      <text>
        <t>Current Ratio = Total Current Assets / Total Current Liabilities</t>
      </text>
    </comment>
    <comment ref="F28" authorId="0" shapeId="0">
      <text>
        <t>Current Ratio = Total Current Assets / Total Current Liabilities</t>
      </text>
    </comment>
    <comment ref="G28" authorId="0" shapeId="0">
      <text>
        <t>Current Ratio = Total Current Assets / Total Current Liabilities</t>
      </text>
    </comment>
    <comment ref="H28" authorId="0" shapeId="0">
      <text>
        <t>Current Ratio = Total Current Assets / Total Current Liabilities</t>
      </text>
    </comment>
    <comment ref="B29" authorId="0" shapeId="0">
      <text>
        <t>Debt/Equity = Total Debt / Total Equity</t>
      </text>
    </comment>
    <comment ref="C29" authorId="0" shapeId="0">
      <text>
        <t>Debt/Equity = Total Debt / Total Equity</t>
      </text>
    </comment>
    <comment ref="D29" authorId="0" shapeId="0">
      <text>
        <t>Debt/Equity = Total Debt / Total Equity</t>
      </text>
    </comment>
    <comment ref="E29" authorId="0" shapeId="0">
      <text>
        <t>Debt/Equity = Total Debt / Total Equity</t>
      </text>
    </comment>
    <comment ref="F29" authorId="0" shapeId="0">
      <text>
        <t>Debt/Equity = Total Debt / Total Equity</t>
      </text>
    </comment>
    <comment ref="G29" authorId="0" shapeId="0">
      <text>
        <t>Debt/Equity = Total Debt / Total Equity</t>
      </text>
    </comment>
    <comment ref="H29" authorId="0" shapeId="0">
      <text>
        <t>Debt/Equity = Total Debt / Total Equity</t>
      </text>
    </comment>
    <comment ref="B30" authorId="0" shapeId="0">
      <text>
        <t>Debt/EBITDA = Total Debt / EBITDA</t>
      </text>
    </comment>
    <comment ref="C30" authorId="0" shapeId="0">
      <text>
        <t>Debt/EBITDA = Total Debt / EBITDA</t>
      </text>
    </comment>
    <comment ref="D30" authorId="0" shapeId="0">
      <text>
        <t>Debt/EBITDA = Total Debt / EBITDA</t>
      </text>
    </comment>
    <comment ref="E30" authorId="0" shapeId="0">
      <text>
        <t>Debt/EBITDA = Total Debt / EBITDA</t>
      </text>
    </comment>
    <comment ref="F30" authorId="0" shapeId="0">
      <text>
        <t>Debt/EBITDA = Total Debt / EBITDA</t>
      </text>
    </comment>
    <comment ref="G30" authorId="0" shapeId="0">
      <text>
        <t>Debt/EBITDA = Total Debt / EBITDA</t>
      </text>
    </comment>
    <comment ref="H30" authorId="0" shapeId="0">
      <text>
        <t>Debt/EBITDA = Total Debt / EBITDA</t>
      </text>
    </comment>
    <comment ref="B31" authorId="0" shapeId="0">
      <text>
        <t>Net Debt/EBITDA = Net Debt / EBITDA</t>
      </text>
    </comment>
    <comment ref="C31" authorId="0" shapeId="0">
      <text>
        <t>Net Debt/EBITDA = Net Debt / EBITDA</t>
      </text>
    </comment>
    <comment ref="D31" authorId="0" shapeId="0">
      <text>
        <t>Net Debt/EBITDA = Net Debt / EBITDA</t>
      </text>
    </comment>
    <comment ref="E31" authorId="0" shapeId="0">
      <text>
        <t>Net Debt/EBITDA = Net Debt / EBITDA</t>
      </text>
    </comment>
    <comment ref="F31" authorId="0" shapeId="0">
      <text>
        <t>Net Debt/EBITDA = Net Debt / EBITDA</t>
      </text>
    </comment>
    <comment ref="G31" authorId="0" shapeId="0">
      <text>
        <t>Net Debt/EBITDA = Net Debt / EBITDA</t>
      </text>
    </comment>
    <comment ref="H31" authorId="0" shapeId="0">
      <text>
        <t>Net Debt/EBITDA = Net Debt / EBITDA</t>
      </text>
    </comment>
    <comment ref="B32" authorId="0" shapeId="0">
      <text>
        <t>Interest Coverage = EBITDA / Interest Expense</t>
      </text>
    </comment>
    <comment ref="C32" authorId="0" shapeId="0">
      <text>
        <t>Interest Coverage = EBITDA / Interest Expense</t>
      </text>
    </comment>
    <comment ref="D32" authorId="0" shapeId="0">
      <text>
        <t>Interest Coverage = EBITDA / Interest Expense</t>
      </text>
    </comment>
    <comment ref="E32" authorId="0" shapeId="0">
      <text>
        <t>Interest Coverage = EBITDA / Interest Expense</t>
      </text>
    </comment>
    <comment ref="F32" authorId="0" shapeId="0">
      <text>
        <t>Interest Coverage = EBITDA / Interest Expense</t>
      </text>
    </comment>
    <comment ref="G32" authorId="0" shapeId="0">
      <text>
        <t>Interest Coverage = EBITDA / Interest Expense</t>
      </text>
    </comment>
    <comment ref="H32" authorId="0" shapeId="0">
      <text>
        <t>Interest Coverage = EBITDA / Interest Expense</t>
      </text>
    </comment>
    <comment ref="B33" authorId="0" shapeId="0">
      <text>
        <t>DSCR = EBITDA / Annual Debt Service ($12,796,164)</t>
      </text>
    </comment>
    <comment ref="C33" authorId="0" shapeId="0">
      <text>
        <t>DSCR = EBITDA / Annual Debt Service ($12,796,164)</t>
      </text>
    </comment>
    <comment ref="D33" authorId="0" shapeId="0">
      <text>
        <t>DSCR = EBITDA / Annual Debt Service ($12,796,164)</t>
      </text>
    </comment>
    <comment ref="E33" authorId="0" shapeId="0">
      <text>
        <t>DSCR = EBITDA / Annual Debt Service ($12,796,164)</t>
      </text>
    </comment>
    <comment ref="F33" authorId="0" shapeId="0">
      <text>
        <t>DSCR = EBITDA / Annual Debt Service ($12,796,164)</t>
      </text>
    </comment>
    <comment ref="G33" authorId="0" shapeId="0">
      <text>
        <t>DSCR = EBITDA / Annual Debt Service ($12,796,164)</t>
      </text>
    </comment>
    <comment ref="H33" authorId="0" shapeId="0">
      <text>
        <t>DSCR = EBITDA / Annual Debt Service ($12,796,164)</t>
      </text>
    </comment>
    <comment ref="E38" authorId="0" shapeId="0">
      <text>
        <t>Links to: Debt Schedule row 171 - GRAND TOTAL ALL DEBT</t>
      </text>
    </comment>
    <comment ref="E39" authorId="0" shapeId="0">
      <text>
        <t>Per debt analysis: 27 unique lenders</t>
      </text>
    </comment>
    <comment ref="E40" authorId="0" shapeId="0">
      <text>
        <t>Per debt analysis: 84 individual loan facilities</t>
      </text>
    </comment>
    <comment ref="E41" authorId="0" shapeId="0">
      <text>
        <t>Monthly debt service from DS: $1,066,347</t>
      </text>
    </comment>
    <comment ref="E42" authorId="0" shapeId="0">
      <text>
        <t>Annual debt service = Monthly x 12: $12,796,164</t>
      </text>
    </comment>
    <comment ref="E43" authorId="0" shapeId="0">
      <text>
        <t>Calculated: Annual Interest / Total Balance from Debt Schedule</t>
      </text>
    </comment>
    <comment ref="E44" authorId="0" shapeId="0">
      <text>
        <t>Links to: Balance Sheet row 33 - Current Portion Bank Notes</t>
      </text>
    </comment>
    <comment ref="E45" authorId="0" shapeId="0">
      <text>
        <t>Links to: Balance Sheet row 42 - LT Portion Bank Notes</t>
      </text>
    </comment>
  </commentList>
</comments>
</file>

<file path=xl/comments/comment10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loans.md, Loan 008
Extracted: 2026-05-14</t>
      </text>
    </comment>
    <comment ref="B6" authorId="0" shapeId="0">
      <text>
        <t>Source: Meiborg_Debt_Schedule_202512.xlsx
Balance as of 12/31/2025
Original Balance: $1,557,625.00</t>
      </text>
    </comment>
    <comment ref="B7" authorId="0" shapeId="0">
      <text>
        <t>Source: loans.md, Loan 008
Extracted: 2026-05-14</t>
      </text>
    </comment>
    <comment ref="B8" authorId="0" shapeId="0">
      <text>
        <t>Source: loans.md, Loan 008
Extracted: 2026-05-14</t>
      </text>
    </comment>
    <comment ref="C23" authorId="0" shapeId="0">
      <text>
        <t>Loan: Webster Capital Finance. Source: Meiborg_Debt_Schedule_202512.xlsx</t>
      </text>
    </comment>
    <comment ref="D23" authorId="0" shapeId="0">
      <text>
        <t>Loan: Webster Capital Finance. Interest = MAX(0, Opening * Rate/12)</t>
      </text>
    </comment>
    <comment ref="E23" authorId="0" shapeId="0">
      <text>
        <t>Loan: Webster Capital Finance. Principal = MAX(0, MIN(Opening, Payment - Interest))</t>
      </text>
    </comment>
    <comment ref="F23" authorId="0" shapeId="0">
      <text>
        <t>Loan: Webster Capital Finance. Closing = MAX(0, Opening - Principal)</t>
      </text>
    </comment>
    <comment ref="C24" authorId="0" shapeId="0">
      <text>
        <t>Loan: Webster Capital Finance. Opening = prior month closing balance.</t>
      </text>
    </comment>
    <comment ref="D24" authorId="0" shapeId="0">
      <text>
        <t>Loan: Webster Capital Finance. Interest = MAX(0, Opening * Rate/12)</t>
      </text>
    </comment>
    <comment ref="E24" authorId="0" shapeId="0">
      <text>
        <t>Loan: Webster Capital Finance. Principal = MAX(0, MIN(Opening, Payment - Interest))</t>
      </text>
    </comment>
    <comment ref="F24" authorId="0" shapeId="0">
      <text>
        <t>Loan: Webster Capital Finance. Closing = MAX(0, Opening - Principal)</t>
      </text>
    </comment>
    <comment ref="C25" authorId="0" shapeId="0">
      <text>
        <t>Loan: Webster Capital Finance. Opening = prior month closing balance.</t>
      </text>
    </comment>
    <comment ref="D25" authorId="0" shapeId="0">
      <text>
        <t>Loan: Webster Capital Finance. Interest = MAX(0, Opening * Rate/12)</t>
      </text>
    </comment>
    <comment ref="E25" authorId="0" shapeId="0">
      <text>
        <t>Loan: Webster Capital Finance. Principal = MAX(0, MIN(Opening, Payment - Interest))</t>
      </text>
    </comment>
    <comment ref="F25" authorId="0" shapeId="0">
      <text>
        <t>Loan: Webster Capital Finance. Closing = MAX(0, Opening - Principal)</t>
      </text>
    </comment>
    <comment ref="C26" authorId="0" shapeId="0">
      <text>
        <t>Loan: Webster Capital Finance. Opening = prior month closing balance.</t>
      </text>
    </comment>
    <comment ref="D26" authorId="0" shapeId="0">
      <text>
        <t>Loan: Webster Capital Finance. Interest = MAX(0, Opening * Rate/12)</t>
      </text>
    </comment>
    <comment ref="E26" authorId="0" shapeId="0">
      <text>
        <t>Loan: Webster Capital Finance. Principal = MAX(0, MIN(Opening, Payment - Interest))</t>
      </text>
    </comment>
    <comment ref="F26" authorId="0" shapeId="0">
      <text>
        <t>Loan: Webster Capital Finance. Closing = MAX(0, Opening - Principal)</t>
      </text>
    </comment>
    <comment ref="C27" authorId="0" shapeId="0">
      <text>
        <t>Loan: Webster Capital Finance. Opening = prior month closing balance.</t>
      </text>
    </comment>
    <comment ref="D27" authorId="0" shapeId="0">
      <text>
        <t>Loan: Webster Capital Finance. Interest = MAX(0, Opening * Rate/12)</t>
      </text>
    </comment>
    <comment ref="E27" authorId="0" shapeId="0">
      <text>
        <t>Loan: Webster Capital Finance. Principal = MAX(0, MIN(Opening, Payment - Interest))</t>
      </text>
    </comment>
    <comment ref="F27" authorId="0" shapeId="0">
      <text>
        <t>Loan: Webster Capital Finance. Closing = MAX(0, Opening - Principal)</t>
      </text>
    </comment>
    <comment ref="C28" authorId="0" shapeId="0">
      <text>
        <t>Loan: Webster Capital Finance. Opening = prior month closing balance.</t>
      </text>
    </comment>
    <comment ref="D28" authorId="0" shapeId="0">
      <text>
        <t>Loan: Webster Capital Finance. Interest = MAX(0, Opening * Rate/12)</t>
      </text>
    </comment>
    <comment ref="E28" authorId="0" shapeId="0">
      <text>
        <t>Loan: Webster Capital Finance. Principal = MAX(0, MIN(Opening, Payment - Interest))</t>
      </text>
    </comment>
    <comment ref="F28" authorId="0" shapeId="0">
      <text>
        <t>Loan: Webster Capital Finance. Closing = MAX(0, Opening - Principal)</t>
      </text>
    </comment>
    <comment ref="C29" authorId="0" shapeId="0">
      <text>
        <t>Loan: Webster Capital Finance. Opening = prior month closing balance.</t>
      </text>
    </comment>
    <comment ref="D29" authorId="0" shapeId="0">
      <text>
        <t>Loan: Webster Capital Finance. Interest = MAX(0, Opening * Rate/12)</t>
      </text>
    </comment>
    <comment ref="E29" authorId="0" shapeId="0">
      <text>
        <t>Loan: Webster Capital Finance. Principal = MAX(0, MIN(Opening, Payment - Interest))</t>
      </text>
    </comment>
    <comment ref="F29" authorId="0" shapeId="0">
      <text>
        <t>Loan: Webster Capital Finance. Closing = MAX(0, Opening - Principal)</t>
      </text>
    </comment>
    <comment ref="C30" authorId="0" shapeId="0">
      <text>
        <t>Loan: Webster Capital Finance. Opening = prior month closing balance.</t>
      </text>
    </comment>
    <comment ref="D30" authorId="0" shapeId="0">
      <text>
        <t>Loan: Webster Capital Finance. Interest = MAX(0, Opening * Rate/12)</t>
      </text>
    </comment>
    <comment ref="E30" authorId="0" shapeId="0">
      <text>
        <t>Loan: Webster Capital Finance. Principal = MAX(0, MIN(Opening, Payment - Interest))</t>
      </text>
    </comment>
    <comment ref="F30" authorId="0" shapeId="0">
      <text>
        <t>Loan: Webster Capital Finance. Closing = MAX(0, Opening - Principal)</t>
      </text>
    </comment>
    <comment ref="C31" authorId="0" shapeId="0">
      <text>
        <t>Loan: Webster Capital Finance. Opening = prior month closing balance.</t>
      </text>
    </comment>
    <comment ref="D31" authorId="0" shapeId="0">
      <text>
        <t>Loan: Webster Capital Finance. Interest = MAX(0, Opening * Rate/12)</t>
      </text>
    </comment>
    <comment ref="E31" authorId="0" shapeId="0">
      <text>
        <t>Loan: Webster Capital Finance. Principal = MAX(0, MIN(Opening, Payment - Interest))</t>
      </text>
    </comment>
    <comment ref="F31" authorId="0" shapeId="0">
      <text>
        <t>Loan: Webster Capital Finance. Closing = MAX(0, Opening - Principal)</t>
      </text>
    </comment>
    <comment ref="C32" authorId="0" shapeId="0">
      <text>
        <t>Loan: Webster Capital Finance. Opening = prior month closing balance.</t>
      </text>
    </comment>
    <comment ref="D32" authorId="0" shapeId="0">
      <text>
        <t>Loan: Webster Capital Finance. Interest = MAX(0, Opening * Rate/12)</t>
      </text>
    </comment>
    <comment ref="E32" authorId="0" shapeId="0">
      <text>
        <t>Loan: Webster Capital Finance. Principal = MAX(0, MIN(Opening, Payment - Interest))</t>
      </text>
    </comment>
    <comment ref="F32" authorId="0" shapeId="0">
      <text>
        <t>Loan: Webster Capital Finance. Closing = MAX(0, Opening - Principal)</t>
      </text>
    </comment>
    <comment ref="C33" authorId="0" shapeId="0">
      <text>
        <t>Loan: Webster Capital Finance. Opening = prior month closing balance.</t>
      </text>
    </comment>
    <comment ref="D33" authorId="0" shapeId="0">
      <text>
        <t>Loan: Webster Capital Finance. Interest = MAX(0, Opening * Rate/12)</t>
      </text>
    </comment>
    <comment ref="E33" authorId="0" shapeId="0">
      <text>
        <t>Loan: Webster Capital Finance. Principal = MAX(0, MIN(Opening, Payment - Interest))</t>
      </text>
    </comment>
    <comment ref="F33" authorId="0" shapeId="0">
      <text>
        <t>Loan: Webster Capital Finance. Closing = MAX(0, Opening - Principal)</t>
      </text>
    </comment>
    <comment ref="C34" authorId="0" shapeId="0">
      <text>
        <t>Loan: Webster Capital Finance. Opening = prior month closing balance.</t>
      </text>
    </comment>
    <comment ref="D34" authorId="0" shapeId="0">
      <text>
        <t>Loan: Webster Capital Finance. Interest = MAX(0, Opening * Rate/12)</t>
      </text>
    </comment>
    <comment ref="E34" authorId="0" shapeId="0">
      <text>
        <t>Loan: Webster Capital Finance. Principal = MAX(0, MIN(Opening, Payment - Interest))</t>
      </text>
    </comment>
    <comment ref="F34" authorId="0" shapeId="0">
      <text>
        <t>Loan: Webster Capital Finance. Closing = MAX(0, Opening - Principal)</t>
      </text>
    </comment>
    <comment ref="C35" authorId="0" shapeId="0">
      <text>
        <t>Loan: Webster Capital Finance. Opening = prior month closing balance.</t>
      </text>
    </comment>
    <comment ref="D35" authorId="0" shapeId="0">
      <text>
        <t>Loan: Webster Capital Finance. Interest = MAX(0, Opening * Rate/12)</t>
      </text>
    </comment>
    <comment ref="E35" authorId="0" shapeId="0">
      <text>
        <t>Loan: Webster Capital Finance. Principal = MAX(0, MIN(Opening, Payment - Interest))</t>
      </text>
    </comment>
    <comment ref="F35" authorId="0" shapeId="0">
      <text>
        <t>Loan: Webster Capital Finance. Closing = MAX(0, Opening - Principal)</t>
      </text>
    </comment>
    <comment ref="C36" authorId="0" shapeId="0">
      <text>
        <t>Loan: Webster Capital Finance. Opening = prior month closing balance.</t>
      </text>
    </comment>
    <comment ref="D36" authorId="0" shapeId="0">
      <text>
        <t>Loan: Webster Capital Finance. Interest = MAX(0, Opening * Rate/12)</t>
      </text>
    </comment>
    <comment ref="E36" authorId="0" shapeId="0">
      <text>
        <t>Loan: Webster Capital Finance. Principal = MAX(0, MIN(Opening, Payment - Interest))</t>
      </text>
    </comment>
    <comment ref="F36" authorId="0" shapeId="0">
      <text>
        <t>Loan: Webster Capital Finance. Closing = MAX(0, Opening - Principal)</t>
      </text>
    </comment>
    <comment ref="C37" authorId="0" shapeId="0">
      <text>
        <t>Loan: Webster Capital Finance. Opening = prior month closing balance.</t>
      </text>
    </comment>
    <comment ref="D37" authorId="0" shapeId="0">
      <text>
        <t>Loan: Webster Capital Finance. Interest = MAX(0, Opening * Rate/12)</t>
      </text>
    </comment>
    <comment ref="E37" authorId="0" shapeId="0">
      <text>
        <t>Loan: Webster Capital Finance. Principal = MAX(0, MIN(Opening, Payment - Interest))</t>
      </text>
    </comment>
    <comment ref="F37" authorId="0" shapeId="0">
      <text>
        <t>Loan: Webster Capital Finance. Closing = MAX(0, Opening - Principal)</t>
      </text>
    </comment>
    <comment ref="C38" authorId="0" shapeId="0">
      <text>
        <t>Loan: Webster Capital Finance. Opening = prior month closing balance.</t>
      </text>
    </comment>
    <comment ref="D38" authorId="0" shapeId="0">
      <text>
        <t>Loan: Webster Capital Finance. Interest = MAX(0, Opening * Rate/12)</t>
      </text>
    </comment>
    <comment ref="E38" authorId="0" shapeId="0">
      <text>
        <t>Loan: Webster Capital Finance. Principal = MAX(0, MIN(Opening, Payment - Interest))</t>
      </text>
    </comment>
    <comment ref="F38" authorId="0" shapeId="0">
      <text>
        <t>Loan: Webster Capital Finance. Closing = MAX(0, Opening - Principal)</t>
      </text>
    </comment>
    <comment ref="C39" authorId="0" shapeId="0">
      <text>
        <t>Loan: Webster Capital Finance. Opening = prior month closing balance.</t>
      </text>
    </comment>
    <comment ref="D39" authorId="0" shapeId="0">
      <text>
        <t>Loan: Webster Capital Finance. Interest = MAX(0, Opening * Rate/12)</t>
      </text>
    </comment>
    <comment ref="E39" authorId="0" shapeId="0">
      <text>
        <t>Loan: Webster Capital Finance. Principal = MAX(0, MIN(Opening, Payment - Interest))</t>
      </text>
    </comment>
    <comment ref="F39" authorId="0" shapeId="0">
      <text>
        <t>Loan: Webster Capital Finance. Closing = MAX(0, Opening - Principal)</t>
      </text>
    </comment>
    <comment ref="C40" authorId="0" shapeId="0">
      <text>
        <t>Loan: Webster Capital Finance. Opening = prior month closing balance.</t>
      </text>
    </comment>
    <comment ref="D40" authorId="0" shapeId="0">
      <text>
        <t>Loan: Webster Capital Finance. Interest = MAX(0, Opening * Rate/12)</t>
      </text>
    </comment>
    <comment ref="E40" authorId="0" shapeId="0">
      <text>
        <t>Loan: Webster Capital Finance. Principal = MAX(0, MIN(Opening, Payment - Interest))</t>
      </text>
    </comment>
    <comment ref="F40" authorId="0" shapeId="0">
      <text>
        <t>Loan: Webster Capital Finance. Closing = MAX(0, Opening - Principal)</t>
      </text>
    </comment>
    <comment ref="C41" authorId="0" shapeId="0">
      <text>
        <t>Loan: Webster Capital Finance. Opening = prior month closing balance.</t>
      </text>
    </comment>
    <comment ref="D41" authorId="0" shapeId="0">
      <text>
        <t>Loan: Webster Capital Finance. Interest = MAX(0, Opening * Rate/12)</t>
      </text>
    </comment>
    <comment ref="E41" authorId="0" shapeId="0">
      <text>
        <t>Loan: Webster Capital Finance. Principal = MAX(0, MIN(Opening, Payment - Interest))</t>
      </text>
    </comment>
    <comment ref="F41" authorId="0" shapeId="0">
      <text>
        <t>Loan: Webster Capital Finance. Closing = MAX(0, Opening - Principal)</t>
      </text>
    </comment>
    <comment ref="C42" authorId="0" shapeId="0">
      <text>
        <t>Loan: Webster Capital Finance. Opening = prior month closing balance.</t>
      </text>
    </comment>
    <comment ref="D42" authorId="0" shapeId="0">
      <text>
        <t>Loan: Webster Capital Finance. Interest = MAX(0, Opening * Rate/12)</t>
      </text>
    </comment>
    <comment ref="E42" authorId="0" shapeId="0">
      <text>
        <t>Loan: Webster Capital Finance. Principal = MAX(0, MIN(Opening, Payment - Interest))</t>
      </text>
    </comment>
    <comment ref="F42" authorId="0" shapeId="0">
      <text>
        <t>Loan: Webster Capital Finance. Closing = MAX(0, Opening - Principal)</t>
      </text>
    </comment>
    <comment ref="C43" authorId="0" shapeId="0">
      <text>
        <t>Loan: Webster Capital Finance. Opening = prior month closing balance.</t>
      </text>
    </comment>
    <comment ref="D43" authorId="0" shapeId="0">
      <text>
        <t>Loan: Webster Capital Finance. Interest = MAX(0, Opening * Rate/12)</t>
      </text>
    </comment>
    <comment ref="E43" authorId="0" shapeId="0">
      <text>
        <t>Loan: Webster Capital Finance. Principal = MAX(0, MIN(Opening, Payment - Interest))</t>
      </text>
    </comment>
    <comment ref="F43" authorId="0" shapeId="0">
      <text>
        <t>Loan: Webster Capital Finance. Closing = MAX(0, Opening - Principal)</t>
      </text>
    </comment>
    <comment ref="C44" authorId="0" shapeId="0">
      <text>
        <t>Loan: Webster Capital Finance. Opening = prior month closing balance.</t>
      </text>
    </comment>
    <comment ref="D44" authorId="0" shapeId="0">
      <text>
        <t>Loan: Webster Capital Finance. Interest = MAX(0, Opening * Rate/12)</t>
      </text>
    </comment>
    <comment ref="E44" authorId="0" shapeId="0">
      <text>
        <t>Loan: Webster Capital Finance. Principal = MAX(0, MIN(Opening, Payment - Interest))</t>
      </text>
    </comment>
    <comment ref="F44" authorId="0" shapeId="0">
      <text>
        <t>Loan: Webster Capital Finance. Closing = MAX(0, Opening - Principal)</t>
      </text>
    </comment>
    <comment ref="C45" authorId="0" shapeId="0">
      <text>
        <t>Loan: Webster Capital Finance. Opening = prior month closing balance.</t>
      </text>
    </comment>
    <comment ref="D45" authorId="0" shapeId="0">
      <text>
        <t>Loan: Webster Capital Finance. Interest = MAX(0, Opening * Rate/12)</t>
      </text>
    </comment>
    <comment ref="E45" authorId="0" shapeId="0">
      <text>
        <t>Loan: Webster Capital Finance. Principal = MAX(0, MIN(Opening, Payment - Interest))</t>
      </text>
    </comment>
    <comment ref="F45" authorId="0" shapeId="0">
      <text>
        <t>Loan: Webster Capital Finance. Closing = MAX(0, Opening - Principal)</t>
      </text>
    </comment>
    <comment ref="C46" authorId="0" shapeId="0">
      <text>
        <t>Loan: Webster Capital Finance. Opening = prior month closing balance.</t>
      </text>
    </comment>
    <comment ref="D46" authorId="0" shapeId="0">
      <text>
        <t>Loan: Webster Capital Finance. Interest = MAX(0, Opening * Rate/12)</t>
      </text>
    </comment>
    <comment ref="E46" authorId="0" shapeId="0">
      <text>
        <t>Loan: Webster Capital Finance. Principal = MAX(0, MIN(Opening, Payment - Interest))</t>
      </text>
    </comment>
    <comment ref="F46" authorId="0" shapeId="0">
      <text>
        <t>Loan: Webster Capital Finance. Closing = MAX(0, Opening - Principal)</t>
      </text>
    </comment>
    <comment ref="C47" authorId="0" shapeId="0">
      <text>
        <t>Loan: Webster Capital Finance. Opening = prior month closing balance.</t>
      </text>
    </comment>
    <comment ref="D47" authorId="0" shapeId="0">
      <text>
        <t>Loan: Webster Capital Finance. Interest = MAX(0, Opening * Rate/12)</t>
      </text>
    </comment>
    <comment ref="E47" authorId="0" shapeId="0">
      <text>
        <t>Loan: Webster Capital Finance. Principal = MAX(0, MIN(Opening, Payment - Interest))</t>
      </text>
    </comment>
    <comment ref="F47" authorId="0" shapeId="0">
      <text>
        <t>Loan: Webster Capital Finance. Closing = MAX(0, Opening - Principal)</t>
      </text>
    </comment>
    <comment ref="C48" authorId="0" shapeId="0">
      <text>
        <t>Loan: Webster Capital Finance. Opening = prior month closing balance.</t>
      </text>
    </comment>
    <comment ref="D48" authorId="0" shapeId="0">
      <text>
        <t>Loan: Webster Capital Finance. Interest = MAX(0, Opening * Rate/12)</t>
      </text>
    </comment>
    <comment ref="E48" authorId="0" shapeId="0">
      <text>
        <t>Loan: Webster Capital Finance. Principal = MAX(0, MIN(Opening, Payment - Interest))</t>
      </text>
    </comment>
    <comment ref="F48" authorId="0" shapeId="0">
      <text>
        <t>Loan: Webster Capital Finance. Closing = MAX(0, Opening - Principal)</t>
      </text>
    </comment>
    <comment ref="C49" authorId="0" shapeId="0">
      <text>
        <t>Loan: Webster Capital Finance. Opening = prior month closing balance.</t>
      </text>
    </comment>
    <comment ref="D49" authorId="0" shapeId="0">
      <text>
        <t>Loan: Webster Capital Finance. Interest = MAX(0, Opening * Rate/12)</t>
      </text>
    </comment>
    <comment ref="E49" authorId="0" shapeId="0">
      <text>
        <t>Loan: Webster Capital Finance. Principal = MAX(0, MIN(Opening, Payment - Interest))</t>
      </text>
    </comment>
    <comment ref="F49" authorId="0" shapeId="0">
      <text>
        <t>Loan: Webster Capital Finance. Closing = MAX(0, Opening - Principal)</t>
      </text>
    </comment>
    <comment ref="C50" authorId="0" shapeId="0">
      <text>
        <t>Loan: Webster Capital Finance. Opening = prior month closing balance.</t>
      </text>
    </comment>
    <comment ref="D50" authorId="0" shapeId="0">
      <text>
        <t>Loan: Webster Capital Finance. Interest = MAX(0, Opening * Rate/12)</t>
      </text>
    </comment>
    <comment ref="E50" authorId="0" shapeId="0">
      <text>
        <t>Loan: Webster Capital Finance. Principal = MAX(0, MIN(Opening, Payment - Interest))</t>
      </text>
    </comment>
    <comment ref="F50" authorId="0" shapeId="0">
      <text>
        <t>Loan: Webster Capital Finance. Closing = MAX(0, Opening - Principal)</t>
      </text>
    </comment>
    <comment ref="C51" authorId="0" shapeId="0">
      <text>
        <t>Loan: Webster Capital Finance. Opening = prior month closing balance.</t>
      </text>
    </comment>
    <comment ref="D51" authorId="0" shapeId="0">
      <text>
        <t>Loan: Webster Capital Finance. Interest = MAX(0, Opening * Rate/12)</t>
      </text>
    </comment>
    <comment ref="E51" authorId="0" shapeId="0">
      <text>
        <t>Loan: Webster Capital Finance. Principal = MAX(0, MIN(Opening, Payment - Interest))</t>
      </text>
    </comment>
    <comment ref="F51" authorId="0" shapeId="0">
      <text>
        <t>Loan: Webster Capital Finance. Closing = MAX(0, Opening - Principal)</t>
      </text>
    </comment>
    <comment ref="C52" authorId="0" shapeId="0">
      <text>
        <t>Loan: Webster Capital Finance. Opening = prior month closing balance.</t>
      </text>
    </comment>
    <comment ref="D52" authorId="0" shapeId="0">
      <text>
        <t>Loan: Webster Capital Finance. Interest = MAX(0, Opening * Rate/12)</t>
      </text>
    </comment>
    <comment ref="E52" authorId="0" shapeId="0">
      <text>
        <t>Loan: Webster Capital Finance. Principal = MAX(0, MIN(Opening, Payment - Interest))</t>
      </text>
    </comment>
    <comment ref="F52" authorId="0" shapeId="0">
      <text>
        <t>Loan: Webster Capital Finance. Closing = MAX(0, Opening - Principal)</t>
      </text>
    </comment>
    <comment ref="C53" authorId="0" shapeId="0">
      <text>
        <t>Loan: Webster Capital Finance. Opening = prior month closing balance.</t>
      </text>
    </comment>
    <comment ref="D53" authorId="0" shapeId="0">
      <text>
        <t>Loan: Webster Capital Finance. Interest = MAX(0, Opening * Rate/12)</t>
      </text>
    </comment>
    <comment ref="E53" authorId="0" shapeId="0">
      <text>
        <t>Loan: Webster Capital Finance. Principal = MAX(0, MIN(Opening, Payment - Interest))</t>
      </text>
    </comment>
    <comment ref="F53" authorId="0" shapeId="0">
      <text>
        <t>Loan: Webster Capital Finance. Closing = MAX(0, Opening - Principal)</t>
      </text>
    </comment>
    <comment ref="C54" authorId="0" shapeId="0">
      <text>
        <t>Loan: Webster Capital Finance. Opening = prior month closing balance.</t>
      </text>
    </comment>
    <comment ref="D54" authorId="0" shapeId="0">
      <text>
        <t>Loan: Webster Capital Finance. Interest = MAX(0, Opening * Rate/12)</t>
      </text>
    </comment>
    <comment ref="E54" authorId="0" shapeId="0">
      <text>
        <t>Loan: Webster Capital Finance. Principal = MAX(0, MIN(Opening, Payment - Interest))</t>
      </text>
    </comment>
    <comment ref="F54" authorId="0" shapeId="0">
      <text>
        <t>Loan: Webster Capital Finance. Closing = MAX(0, Opening - Principal)</t>
      </text>
    </comment>
    <comment ref="C55" authorId="0" shapeId="0">
      <text>
        <t>Loan: Webster Capital Finance. Opening = prior month closing balance.</t>
      </text>
    </comment>
    <comment ref="D55" authorId="0" shapeId="0">
      <text>
        <t>Loan: Webster Capital Finance. Interest = MAX(0, Opening * Rate/12)</t>
      </text>
    </comment>
    <comment ref="E55" authorId="0" shapeId="0">
      <text>
        <t>Loan: Webster Capital Finance. Principal = MAX(0, MIN(Opening, Payment - Interest))</t>
      </text>
    </comment>
    <comment ref="F55" authorId="0" shapeId="0">
      <text>
        <t>Loan: Webster Capital Finance. Closing = MAX(0, Opening - Principal)</t>
      </text>
    </comment>
    <comment ref="C56" authorId="0" shapeId="0">
      <text>
        <t>Loan: Webster Capital Finance. Opening = prior month closing balance.</t>
      </text>
    </comment>
    <comment ref="D56" authorId="0" shapeId="0">
      <text>
        <t>Loan: Webster Capital Finance. Interest = MAX(0, Opening * Rate/12)</t>
      </text>
    </comment>
    <comment ref="E56" authorId="0" shapeId="0">
      <text>
        <t>Loan: Webster Capital Finance. Principal = MAX(0, MIN(Opening, Payment - Interest))</t>
      </text>
    </comment>
    <comment ref="F56" authorId="0" shapeId="0">
      <text>
        <t>Loan: Webster Capital Finance. Closing = MAX(0, Opening - Principal)</t>
      </text>
    </comment>
    <comment ref="C57" authorId="0" shapeId="0">
      <text>
        <t>Loan: Webster Capital Finance. Opening = prior month closing balance.</t>
      </text>
    </comment>
    <comment ref="D57" authorId="0" shapeId="0">
      <text>
        <t>Loan: Webster Capital Finance. Interest = MAX(0, Opening * Rate/12)</t>
      </text>
    </comment>
    <comment ref="E57" authorId="0" shapeId="0">
      <text>
        <t>Loan: Webster Capital Finance. Principal = MAX(0, MIN(Opening, Payment - Interest))</t>
      </text>
    </comment>
    <comment ref="F57" authorId="0" shapeId="0">
      <text>
        <t>Loan: Webster Capital Finance. Closing = MAX(0, Opening - Principal)</t>
      </text>
    </comment>
    <comment ref="C58" authorId="0" shapeId="0">
      <text>
        <t>Loan: Webster Capital Finance. Opening = prior month closing balance.</t>
      </text>
    </comment>
    <comment ref="D58" authorId="0" shapeId="0">
      <text>
        <t>Loan: Webster Capital Finance. Interest = MAX(0, Opening * Rate/12)</t>
      </text>
    </comment>
    <comment ref="E58" authorId="0" shapeId="0">
      <text>
        <t>Loan: Webster Capital Finance. Principal = MAX(0, MIN(Opening, Payment - Interest))</t>
      </text>
    </comment>
    <comment ref="F58" authorId="0" shapeId="0">
      <text>
        <t>Loan: Webster Capital Finance. Closing = MAX(0, Opening - Principal)</t>
      </text>
    </comment>
    <comment ref="C59" authorId="0" shapeId="0">
      <text>
        <t>Loan: Webster Capital Finance. Opening = prior month closing balance.</t>
      </text>
    </comment>
    <comment ref="D59" authorId="0" shapeId="0">
      <text>
        <t>Loan: Webster Capital Finance. Interest = MAX(0, Opening * Rate/12)</t>
      </text>
    </comment>
    <comment ref="E59" authorId="0" shapeId="0">
      <text>
        <t>Loan: Webster Capital Finance. Principal = MAX(0, MIN(Opening, Payment - Interest))</t>
      </text>
    </comment>
    <comment ref="F59" authorId="0" shapeId="0">
      <text>
        <t>Loan: Webster Capital Finance. Closing = MAX(0, Opening - Principal)</t>
      </text>
    </comment>
    <comment ref="C60" authorId="0" shapeId="0">
      <text>
        <t>Loan: Webster Capital Finance. Opening = prior month closing balance.</t>
      </text>
    </comment>
    <comment ref="D60" authorId="0" shapeId="0">
      <text>
        <t>Loan: Webster Capital Finance. Interest = MAX(0, Opening * Rate/12)</t>
      </text>
    </comment>
    <comment ref="E60" authorId="0" shapeId="0">
      <text>
        <t>Loan: Webster Capital Finance. Principal = MAX(0, MIN(Opening, Payment - Interest))</t>
      </text>
    </comment>
    <comment ref="F60" authorId="0" shapeId="0">
      <text>
        <t>Loan: Webster Capital Finance. Closing = MAX(0, Opening - Principal)</t>
      </text>
    </comment>
    <comment ref="C61" authorId="0" shapeId="0">
      <text>
        <t>Loan: Webster Capital Finance. Opening = prior month closing balance.</t>
      </text>
    </comment>
    <comment ref="D61" authorId="0" shapeId="0">
      <text>
        <t>Loan: Webster Capital Finance. Interest = MAX(0, Opening * Rate/12)</t>
      </text>
    </comment>
    <comment ref="E61" authorId="0" shapeId="0">
      <text>
        <t>Loan: Webster Capital Finance. Principal = MAX(0, MIN(Opening, Payment - Interest))</t>
      </text>
    </comment>
    <comment ref="F61" authorId="0" shapeId="0">
      <text>
        <t>Loan: Webster Capital Finance. Closing = MAX(0, Opening - Principal)</t>
      </text>
    </comment>
    <comment ref="C62" authorId="0" shapeId="0">
      <text>
        <t>Loan: Webster Capital Finance. Opening = prior month closing balance.</t>
      </text>
    </comment>
    <comment ref="D62" authorId="0" shapeId="0">
      <text>
        <t>Loan: Webster Capital Finance. Interest = MAX(0, Opening * Rate/12)</t>
      </text>
    </comment>
    <comment ref="E62" authorId="0" shapeId="0">
      <text>
        <t>Loan: Webster Capital Finance. Principal = MAX(0, MIN(Opening, Payment - Interest))</t>
      </text>
    </comment>
    <comment ref="F62" authorId="0" shapeId="0">
      <text>
        <t>Loan: Webster Capital Finance. Closing = MAX(0, Opening - Principal)</t>
      </text>
    </comment>
    <comment ref="C63" authorId="0" shapeId="0">
      <text>
        <t>Loan: Webster Capital Finance. Opening = prior month closing balance.</t>
      </text>
    </comment>
    <comment ref="D63" authorId="0" shapeId="0">
      <text>
        <t>Loan: Webster Capital Finance. Interest = MAX(0, Opening * Rate/12)</t>
      </text>
    </comment>
    <comment ref="E63" authorId="0" shapeId="0">
      <text>
        <t>Loan: Webster Capital Finance. Principal = MAX(0, MIN(Opening, Payment - Interest))</t>
      </text>
    </comment>
    <comment ref="F63" authorId="0" shapeId="0">
      <text>
        <t>Loan: Webster Capital Finance. Closing = MAX(0, Opening - Principal)</t>
      </text>
    </comment>
    <comment ref="C64" authorId="0" shapeId="0">
      <text>
        <t>Loan: Webster Capital Finance. Opening = prior month closing balance.</t>
      </text>
    </comment>
    <comment ref="D64" authorId="0" shapeId="0">
      <text>
        <t>Loan: Webster Capital Finance. Interest = MAX(0, Opening * Rate/12)</t>
      </text>
    </comment>
    <comment ref="E64" authorId="0" shapeId="0">
      <text>
        <t>Loan: Webster Capital Finance. Principal = MAX(0, MIN(Opening, Payment - Interest))</t>
      </text>
    </comment>
    <comment ref="F64" authorId="0" shapeId="0">
      <text>
        <t>Loan: Webster Capital Finance. Closing = MAX(0, Opening - Principal)</t>
      </text>
    </comment>
    <comment ref="C65" authorId="0" shapeId="0">
      <text>
        <t>Loan: Webster Capital Finance. Opening = prior month closing balance.</t>
      </text>
    </comment>
    <comment ref="D65" authorId="0" shapeId="0">
      <text>
        <t>Loan: Webster Capital Finance. Interest = MAX(0, Opening * Rate/12)</t>
      </text>
    </comment>
    <comment ref="E65" authorId="0" shapeId="0">
      <text>
        <t>Loan: Webster Capital Finance. Principal = MAX(0, MIN(Opening, Payment - Interest))</t>
      </text>
    </comment>
    <comment ref="F65" authorId="0" shapeId="0">
      <text>
        <t>Loan: Webster Capital Finance. Closing = MAX(0, Opening - Principal)</t>
      </text>
    </comment>
    <comment ref="C66" authorId="0" shapeId="0">
      <text>
        <t>Loan: Webster Capital Finance. Opening = prior month closing balance.</t>
      </text>
    </comment>
    <comment ref="D66" authorId="0" shapeId="0">
      <text>
        <t>Loan: Webster Capital Finance. Interest = MAX(0, Opening * Rate/12)</t>
      </text>
    </comment>
    <comment ref="E66" authorId="0" shapeId="0">
      <text>
        <t>Loan: Webster Capital Finance. Principal = MAX(0, MIN(Opening, Payment - Interest))</t>
      </text>
    </comment>
    <comment ref="F66" authorId="0" shapeId="0">
      <text>
        <t>Loan: Webster Capital Finance. Closing = MAX(0, Opening - Principal)</t>
      </text>
    </comment>
    <comment ref="C67" authorId="0" shapeId="0">
      <text>
        <t>Loan: Webster Capital Finance. Opening = prior month closing balance.</t>
      </text>
    </comment>
    <comment ref="D67" authorId="0" shapeId="0">
      <text>
        <t>Loan: Webster Capital Finance. Interest = MAX(0, Opening * Rate/12)</t>
      </text>
    </comment>
    <comment ref="E67" authorId="0" shapeId="0">
      <text>
        <t>Loan: Webster Capital Finance. Principal = MAX(0, MIN(Opening, Payment - Interest))</t>
      </text>
    </comment>
    <comment ref="F67" authorId="0" shapeId="0">
      <text>
        <t>Loan: Webster Capital Finance. Closing = MAX(0, Opening - Principal)</t>
      </text>
    </comment>
    <comment ref="C68" authorId="0" shapeId="0">
      <text>
        <t>Loan: Webster Capital Finance. Opening = prior month closing balance.</t>
      </text>
    </comment>
    <comment ref="D68" authorId="0" shapeId="0">
      <text>
        <t>Loan: Webster Capital Finance. Interest = MAX(0, Opening * Rate/12)</t>
      </text>
    </comment>
    <comment ref="E68" authorId="0" shapeId="0">
      <text>
        <t>Loan: Webster Capital Finance. Principal = MAX(0, MIN(Opening, Payment - Interest))</t>
      </text>
    </comment>
    <comment ref="F68" authorId="0" shapeId="0">
      <text>
        <t>Loan: Webster Capital Finance. Closing = MAX(0, Opening - Principal)</t>
      </text>
    </comment>
    <comment ref="C69" authorId="0" shapeId="0">
      <text>
        <t>Loan: Webster Capital Finance. Opening = prior month closing balance.</t>
      </text>
    </comment>
    <comment ref="D69" authorId="0" shapeId="0">
      <text>
        <t>Loan: Webster Capital Finance. Interest = MAX(0, Opening * Rate/12)</t>
      </text>
    </comment>
    <comment ref="E69" authorId="0" shapeId="0">
      <text>
        <t>Loan: Webster Capital Finance. Principal = MAX(0, MIN(Opening, Payment - Interest))</t>
      </text>
    </comment>
    <comment ref="F69" authorId="0" shapeId="0">
      <text>
        <t>Loan: Webster Capital Finance. Closing = MAX(0, Opening - Principal)</t>
      </text>
    </comment>
    <comment ref="C70" authorId="0" shapeId="0">
      <text>
        <t>Loan: Webster Capital Finance. Opening = prior month closing balance.</t>
      </text>
    </comment>
    <comment ref="D70" authorId="0" shapeId="0">
      <text>
        <t>Loan: Webster Capital Finance. Interest = MAX(0, Opening * Rate/12)</t>
      </text>
    </comment>
    <comment ref="E70" authorId="0" shapeId="0">
      <text>
        <t>Loan: Webster Capital Finance. Principal = MAX(0, MIN(Opening, Payment - Interest))</t>
      </text>
    </comment>
    <comment ref="F70" authorId="0" shapeId="0">
      <text>
        <t>Loan: Webster Capital Finance. Closing = MAX(0, Opening - Principal)</t>
      </text>
    </comment>
    <comment ref="C71" authorId="0" shapeId="0">
      <text>
        <t>Loan: Webster Capital Finance. Opening = prior month closing balance.</t>
      </text>
    </comment>
    <comment ref="D71" authorId="0" shapeId="0">
      <text>
        <t>Loan: Webster Capital Finance. Interest = MAX(0, Opening * Rate/12)</t>
      </text>
    </comment>
    <comment ref="E71" authorId="0" shapeId="0">
      <text>
        <t>Loan: Webster Capital Finance. Principal = MAX(0, MIN(Opening, Payment - Interest))</t>
      </text>
    </comment>
    <comment ref="F71" authorId="0" shapeId="0">
      <text>
        <t>Loan: Webster Capital Finance. Closing = MAX(0, Opening - Principal)</t>
      </text>
    </comment>
    <comment ref="C72" authorId="0" shapeId="0">
      <text>
        <t>Loan: Webster Capital Finance. Opening = prior month closing balance.</t>
      </text>
    </comment>
    <comment ref="D72" authorId="0" shapeId="0">
      <text>
        <t>Loan: Webster Capital Finance. Interest = MAX(0, Opening * Rate/12)</t>
      </text>
    </comment>
    <comment ref="E72" authorId="0" shapeId="0">
      <text>
        <t>Loan: Webster Capital Finance. Principal = MAX(0, MIN(Opening, Payment - Interest))</t>
      </text>
    </comment>
    <comment ref="F72" authorId="0" shapeId="0">
      <text>
        <t>Loan: Webster Capital Finance. Closing = MAX(0, Opening - Principal)</t>
      </text>
    </comment>
    <comment ref="C73" authorId="0" shapeId="0">
      <text>
        <t>Loan: Webster Capital Finance. Opening = prior month closing balance.</t>
      </text>
    </comment>
    <comment ref="D73" authorId="0" shapeId="0">
      <text>
        <t>Loan: Webster Capital Finance. Interest = MAX(0, Opening * Rate/12)</t>
      </text>
    </comment>
    <comment ref="E73" authorId="0" shapeId="0">
      <text>
        <t>Loan: Webster Capital Finance. Principal = MAX(0, MIN(Opening, Payment - Interest))</t>
      </text>
    </comment>
    <comment ref="F73" authorId="0" shapeId="0">
      <text>
        <t>Loan: Webster Capital Finance. Closing = MAX(0, Opening - Principal)</t>
      </text>
    </comment>
    <comment ref="C74" authorId="0" shapeId="0">
      <text>
        <t>Loan: Webster Capital Finance. Opening = prior month closing balance.</t>
      </text>
    </comment>
    <comment ref="D74" authorId="0" shapeId="0">
      <text>
        <t>Loan: Webster Capital Finance. Interest = MAX(0, Opening * Rate/12)</t>
      </text>
    </comment>
    <comment ref="E74" authorId="0" shapeId="0">
      <text>
        <t>Loan: Webster Capital Finance. Principal = MAX(0, MIN(Opening, Payment - Interest))</t>
      </text>
    </comment>
    <comment ref="F74" authorId="0" shapeId="0">
      <text>
        <t>Loan: Webster Capital Finance. Closing = MAX(0, Opening - Principal)</t>
      </text>
    </comment>
    <comment ref="C75" authorId="0" shapeId="0">
      <text>
        <t>Loan: Webster Capital Finance. Opening = prior month closing balance.</t>
      </text>
    </comment>
    <comment ref="D75" authorId="0" shapeId="0">
      <text>
        <t>Loan: Webster Capital Finance. Interest = MAX(0, Opening * Rate/12)</t>
      </text>
    </comment>
    <comment ref="E75" authorId="0" shapeId="0">
      <text>
        <t>Loan: Webster Capital Finance. Principal = MAX(0, MIN(Opening, Payment - Interest))</t>
      </text>
    </comment>
    <comment ref="F75" authorId="0" shapeId="0">
      <text>
        <t>Loan: Webster Capital Finance. Closing = MAX(0, Opening - Principal)</t>
      </text>
    </comment>
    <comment ref="C76" authorId="0" shapeId="0">
      <text>
        <t>Loan: Webster Capital Finance. Opening = prior month closing balance.</t>
      </text>
    </comment>
    <comment ref="D76" authorId="0" shapeId="0">
      <text>
        <t>Loan: Webster Capital Finance. Interest = MAX(0, Opening * Rate/12)</t>
      </text>
    </comment>
    <comment ref="E76" authorId="0" shapeId="0">
      <text>
        <t>Loan: Webster Capital Finance. Principal = MAX(0, MIN(Opening, Payment - Interest))</t>
      </text>
    </comment>
    <comment ref="F76" authorId="0" shapeId="0">
      <text>
        <t>Loan: Webster Capital Finance. Closing = MAX(0, Opening - Principal)</t>
      </text>
    </comment>
    <comment ref="C77" authorId="0" shapeId="0">
      <text>
        <t>Loan: Webster Capital Finance. Opening = prior month closing balance.</t>
      </text>
    </comment>
    <comment ref="D77" authorId="0" shapeId="0">
      <text>
        <t>Loan: Webster Capital Finance. Interest = MAX(0, Opening * Rate/12)</t>
      </text>
    </comment>
    <comment ref="E77" authorId="0" shapeId="0">
      <text>
        <t>Loan: Webster Capital Finance. Principal = MAX(0, MIN(Opening, Payment - Interest))</t>
      </text>
    </comment>
    <comment ref="F77" authorId="0" shapeId="0">
      <text>
        <t>Loan: Webster Capital Finance. Closing = MAX(0, Opening - Principal)</t>
      </text>
    </comment>
    <comment ref="C82" authorId="0" shapeId="0">
      <text>
        <t>Sum of rows 23-34: Year 2026 opening balance</t>
      </text>
    </comment>
    <comment ref="D82" authorId="0" shapeId="0">
      <text>
        <t>Sum of rows 23-34: Year 2026 interest expense</t>
      </text>
    </comment>
    <comment ref="E82" authorId="0" shapeId="0">
      <text>
        <t>Sum of rows 23-34: Year 2026 principal repaid</t>
      </text>
    </comment>
    <comment ref="F82" authorId="0" shapeId="0">
      <text>
        <t>Sum of rows 23-34: Year 2026 closing balance</t>
      </text>
    </comment>
    <comment ref="C83" authorId="0" shapeId="0">
      <text>
        <t>Sum of rows 35-46: Year 2027 opening balance</t>
      </text>
    </comment>
    <comment ref="D83" authorId="0" shapeId="0">
      <text>
        <t>Sum of rows 35-46: Year 2027 interest expense</t>
      </text>
    </comment>
    <comment ref="E83" authorId="0" shapeId="0">
      <text>
        <t>Sum of rows 35-46: Year 2027 principal repaid</t>
      </text>
    </comment>
    <comment ref="F83" authorId="0" shapeId="0">
      <text>
        <t>Sum of rows 35-46: Year 2027 closing balance</t>
      </text>
    </comment>
    <comment ref="C84" authorId="0" shapeId="0">
      <text>
        <t>Sum of rows 47-58: Year 2028 opening balance</t>
      </text>
    </comment>
    <comment ref="D84" authorId="0" shapeId="0">
      <text>
        <t>Sum of rows 47-58: Year 2028 interest expense</t>
      </text>
    </comment>
    <comment ref="E84" authorId="0" shapeId="0">
      <text>
        <t>Sum of rows 47-58: Year 2028 principal repaid</t>
      </text>
    </comment>
    <comment ref="F84" authorId="0" shapeId="0">
      <text>
        <t>Sum of rows 47-58: Year 2028 closing balance</t>
      </text>
    </comment>
    <comment ref="C85" authorId="0" shapeId="0">
      <text>
        <t>Sum of rows 59-70: Year 2029 opening balance</t>
      </text>
    </comment>
    <comment ref="D85" authorId="0" shapeId="0">
      <text>
        <t>Sum of rows 59-70: Year 2029 interest expense</t>
      </text>
    </comment>
    <comment ref="E85" authorId="0" shapeId="0">
      <text>
        <t>Sum of rows 59-70: Year 2029 principal repaid</t>
      </text>
    </comment>
    <comment ref="F85" authorId="0" shapeId="0">
      <text>
        <t>Sum of rows 59-70: Year 2029 closing balance</t>
      </text>
    </comment>
    <comment ref="C86" authorId="0" shapeId="0">
      <text>
        <t>Sum of rows 71-77: Year 2030 opening balance</t>
      </text>
    </comment>
    <comment ref="D86" authorId="0" shapeId="0">
      <text>
        <t>Sum of rows 71-77: Year 2030 interest expense</t>
      </text>
    </comment>
    <comment ref="E86" authorId="0" shapeId="0">
      <text>
        <t>Sum of rows 71-77: Year 2030 principal repaid</t>
      </text>
    </comment>
    <comment ref="F86" authorId="0" shapeId="0">
      <text>
        <t>Sum of rows 71-77: Year 2030 closing balance</t>
      </text>
    </comment>
  </commentList>
</comments>
</file>

<file path=xl/comments/comment11.xml><?xml version="1.0" encoding="utf-8"?>
<comments xmlns="http://schemas.openxmlformats.org/spreadsheetml/2006/main">
  <authors>
    <author>Model Builder</author>
  </authors>
  <commentList>
    <comment ref="B3" authorId="0" shapeId="0">
      <text>
        <t>Source: Meiborg_Debt_Schedule_202512.xlsx
Extracted: 2026-05-14</t>
      </text>
    </comment>
    <comment ref="B4" authorId="0" shapeId="0">
      <text>
        <t>Loan: Wintrust, SBA Loan. Source: Meiborg_Debt_Schedule_202512.xlsx</t>
      </text>
    </comment>
    <comment ref="B7" authorId="0" shapeId="0">
      <text>
        <t>Source: Meiborg_Debt_Schedule_202512.xlsx
Original loan amount at origination.</t>
      </text>
    </comment>
    <comment ref="B8" authorId="0" shapeId="0">
      <text>
        <t>Source: Meiborg_Debt_Schedule_202512.xlsx
Balance as of 12/31/2025. Links to: Debt Schedule for opening balance.</t>
      </text>
    </comment>
    <comment ref="B9" authorId="0" shapeId="0">
      <text>
        <t>Source: Meiborg_Debt_Schedule_202512.xlsx
Fixed annual interest rate: 3.61%</t>
      </text>
    </comment>
    <comment ref="B10" authorId="0" shapeId="0">
      <text>
        <t>Source: Meiborg_Debt_Schedule_202512.xlsx
Fixed monthly P&amp;I payment.</t>
      </text>
    </comment>
    <comment ref="C20" authorId="0" shapeId="0">
      <text>
        <t>Loan: Wintrust, AMORTIZING. Source: Meiborg_Debt_Schedule_202512.xlsx</t>
      </text>
    </comment>
    <comment ref="E20" authorId="0" shapeId="0">
      <text>
        <t>Loan: Wintrust, AMORTIZING. Interest = Beg Bal * 3.61% / 12</t>
      </text>
    </comment>
    <comment ref="F20" authorId="0" shapeId="0">
      <text>
        <t>Loan: Wintrust, AMORTIZING. Principal = Payment - Interest</t>
      </text>
    </comment>
    <comment ref="G20" authorId="0" shapeId="0">
      <text>
        <t>Loan: Wintrust, AMORTIZING. Closing = Opening - Principal</t>
      </text>
    </comment>
    <comment ref="C21" authorId="0" shapeId="0">
      <text>
        <t>Loan: Wintrust, AMORTIZING. Source: Meiborg_Debt_Schedule_202512.xlsx</t>
      </text>
    </comment>
    <comment ref="E21" authorId="0" shapeId="0">
      <text>
        <t>Loan: Wintrust, AMORTIZING. Interest = Beg Bal * 3.61% / 12</t>
      </text>
    </comment>
    <comment ref="F21" authorId="0" shapeId="0">
      <text>
        <t>Loan: Wintrust, AMORTIZING. Principal = Payment - Interest</t>
      </text>
    </comment>
    <comment ref="G21" authorId="0" shapeId="0">
      <text>
        <t>Loan: Wintrust, AMORTIZING. Closing = Opening - Principal</t>
      </text>
    </comment>
    <comment ref="C22" authorId="0" shapeId="0">
      <text>
        <t>Loan: Wintrust, AMORTIZING. Source: Meiborg_Debt_Schedule_202512.xlsx</t>
      </text>
    </comment>
    <comment ref="E22" authorId="0" shapeId="0">
      <text>
        <t>Loan: Wintrust, AMORTIZING. Interest = Beg Bal * 3.61% / 12</t>
      </text>
    </comment>
    <comment ref="F22" authorId="0" shapeId="0">
      <text>
        <t>Loan: Wintrust, AMORTIZING. Principal = Payment - Interest</t>
      </text>
    </comment>
    <comment ref="G22" authorId="0" shapeId="0">
      <text>
        <t>Loan: Wintrust, AMORTIZING. Closing = Opening - Principal</t>
      </text>
    </comment>
    <comment ref="C23" authorId="0" shapeId="0">
      <text>
        <t>Loan: Wintrust, AMORTIZING. Source: Meiborg_Debt_Schedule_202512.xlsx</t>
      </text>
    </comment>
    <comment ref="E23" authorId="0" shapeId="0">
      <text>
        <t>Loan: Wintrust, AMORTIZING. Interest = Beg Bal * 3.61% / 12</t>
      </text>
    </comment>
    <comment ref="F23" authorId="0" shapeId="0">
      <text>
        <t>Loan: Wintrust, AMORTIZING. Principal = Payment - Interest</t>
      </text>
    </comment>
    <comment ref="G23" authorId="0" shapeId="0">
      <text>
        <t>Loan: Wintrust, AMORTIZING. Closing = Opening - Principal</t>
      </text>
    </comment>
    <comment ref="C24" authorId="0" shapeId="0">
      <text>
        <t>Loan: Wintrust, AMORTIZING. Source: Meiborg_Debt_Schedule_202512.xlsx</t>
      </text>
    </comment>
    <comment ref="E24" authorId="0" shapeId="0">
      <text>
        <t>Loan: Wintrust, AMORTIZING. Interest = Beg Bal * 3.61% / 12</t>
      </text>
    </comment>
    <comment ref="F24" authorId="0" shapeId="0">
      <text>
        <t>Loan: Wintrust, AMORTIZING. Principal = Payment - Interest</t>
      </text>
    </comment>
    <comment ref="G24" authorId="0" shapeId="0">
      <text>
        <t>Loan: Wintrust, AMORTIZING. Closing = Opening - Principal</t>
      </text>
    </comment>
    <comment ref="C25" authorId="0" shapeId="0">
      <text>
        <t>Loan: Wintrust, AMORTIZING. Source: Meiborg_Debt_Schedule_202512.xlsx</t>
      </text>
    </comment>
    <comment ref="E25" authorId="0" shapeId="0">
      <text>
        <t>Loan: Wintrust, AMORTIZING. Interest = Beg Bal * 3.61% / 12</t>
      </text>
    </comment>
    <comment ref="F25" authorId="0" shapeId="0">
      <text>
        <t>Loan: Wintrust, AMORTIZING. Principal = Payment - Interest</t>
      </text>
    </comment>
    <comment ref="G25" authorId="0" shapeId="0">
      <text>
        <t>Loan: Wintrust, AMORTIZING. Closing = Opening - Principal</t>
      </text>
    </comment>
    <comment ref="C26" authorId="0" shapeId="0">
      <text>
        <t>Loan: Wintrust, AMORTIZING. Source: Meiborg_Debt_Schedule_202512.xlsx</t>
      </text>
    </comment>
    <comment ref="E26" authorId="0" shapeId="0">
      <text>
        <t>Loan: Wintrust, AMORTIZING. Interest = Beg Bal * 3.61% / 12</t>
      </text>
    </comment>
    <comment ref="F26" authorId="0" shapeId="0">
      <text>
        <t>Loan: Wintrust, AMORTIZING. Principal = Payment - Interest</t>
      </text>
    </comment>
    <comment ref="G26" authorId="0" shapeId="0">
      <text>
        <t>Loan: Wintrust, AMORTIZING. Closing = Opening - Principal</t>
      </text>
    </comment>
    <comment ref="C27" authorId="0" shapeId="0">
      <text>
        <t>Loan: Wintrust, AMORTIZING. Source: Meiborg_Debt_Schedule_202512.xlsx</t>
      </text>
    </comment>
    <comment ref="E27" authorId="0" shapeId="0">
      <text>
        <t>Loan: Wintrust, AMORTIZING. Interest = Beg Bal * 3.61% / 12</t>
      </text>
    </comment>
    <comment ref="F27" authorId="0" shapeId="0">
      <text>
        <t>Loan: Wintrust, AMORTIZING. Principal = Payment - Interest</t>
      </text>
    </comment>
    <comment ref="G27" authorId="0" shapeId="0">
      <text>
        <t>Loan: Wintrust, AMORTIZING. Closing = Opening - Principal</t>
      </text>
    </comment>
    <comment ref="C28" authorId="0" shapeId="0">
      <text>
        <t>Loan: Wintrust, AMORTIZING. Source: Meiborg_Debt_Schedule_202512.xlsx</t>
      </text>
    </comment>
    <comment ref="E28" authorId="0" shapeId="0">
      <text>
        <t>Loan: Wintrust, AMORTIZING. Interest = Beg Bal * 3.61% / 12</t>
      </text>
    </comment>
    <comment ref="F28" authorId="0" shapeId="0">
      <text>
        <t>Loan: Wintrust, AMORTIZING. Principal = Payment - Interest</t>
      </text>
    </comment>
    <comment ref="G28" authorId="0" shapeId="0">
      <text>
        <t>Loan: Wintrust, AMORTIZING. Closing = Opening - Principal</t>
      </text>
    </comment>
    <comment ref="C29" authorId="0" shapeId="0">
      <text>
        <t>Loan: Wintrust, AMORTIZING. Source: Meiborg_Debt_Schedule_202512.xlsx</t>
      </text>
    </comment>
    <comment ref="E29" authorId="0" shapeId="0">
      <text>
        <t>Loan: Wintrust, AMORTIZING. Interest = Beg Bal * 3.61% / 12</t>
      </text>
    </comment>
    <comment ref="F29" authorId="0" shapeId="0">
      <text>
        <t>Loan: Wintrust, AMORTIZING. Principal = Payment - Interest</t>
      </text>
    </comment>
    <comment ref="G29" authorId="0" shapeId="0">
      <text>
        <t>Loan: Wintrust, AMORTIZING. Closing = Opening - Principal</t>
      </text>
    </comment>
    <comment ref="C30" authorId="0" shapeId="0">
      <text>
        <t>Loan: Wintrust, AMORTIZING. Source: Meiborg_Debt_Schedule_202512.xlsx</t>
      </text>
    </comment>
    <comment ref="E30" authorId="0" shapeId="0">
      <text>
        <t>Loan: Wintrust, AMORTIZING. Interest = Beg Bal * 3.61% / 12</t>
      </text>
    </comment>
    <comment ref="F30" authorId="0" shapeId="0">
      <text>
        <t>Loan: Wintrust, AMORTIZING. Principal = Payment - Interest</t>
      </text>
    </comment>
    <comment ref="G30" authorId="0" shapeId="0">
      <text>
        <t>Loan: Wintrust, AMORTIZING. Closing = Opening - Principal</t>
      </text>
    </comment>
    <comment ref="C31" authorId="0" shapeId="0">
      <text>
        <t>Loan: Wintrust, AMORTIZING. Source: Meiborg_Debt_Schedule_202512.xlsx</t>
      </text>
    </comment>
    <comment ref="E31" authorId="0" shapeId="0">
      <text>
        <t>Loan: Wintrust, AMORTIZING. Interest = Beg Bal * 3.61% / 12</t>
      </text>
    </comment>
    <comment ref="F31" authorId="0" shapeId="0">
      <text>
        <t>Loan: Wintrust, AMORTIZING. Principal = Payment - Interest</t>
      </text>
    </comment>
    <comment ref="G31" authorId="0" shapeId="0">
      <text>
        <t>Loan: Wintrust, AMORTIZING. Closing = Opening - Principal</t>
      </text>
    </comment>
    <comment ref="E32" authorId="0" shapeId="0">
      <text>
        <t>Sum of rows 20-31: Monthly interest for 2026</t>
      </text>
    </comment>
    <comment ref="F32" authorId="0" shapeId="0">
      <text>
        <t>Sum of rows 20-31: Monthly principal for 2026</t>
      </text>
    </comment>
    <comment ref="C33" authorId="0" shapeId="0">
      <text>
        <t>Loan: Wintrust, AMORTIZING. Source: Meiborg_Debt_Schedule_202512.xlsx</t>
      </text>
    </comment>
    <comment ref="E33" authorId="0" shapeId="0">
      <text>
        <t>Loan: Wintrust, AMORTIZING. Interest = Beg Bal * 3.61% / 12</t>
      </text>
    </comment>
    <comment ref="F33" authorId="0" shapeId="0">
      <text>
        <t>Loan: Wintrust, AMORTIZING. Principal = Payment - Interest</t>
      </text>
    </comment>
    <comment ref="G33" authorId="0" shapeId="0">
      <text>
        <t>Loan: Wintrust, AMORTIZING. Closing = Opening - Principal</t>
      </text>
    </comment>
    <comment ref="C34" authorId="0" shapeId="0">
      <text>
        <t>Loan: Wintrust, AMORTIZING. Source: Meiborg_Debt_Schedule_202512.xlsx</t>
      </text>
    </comment>
    <comment ref="E34" authorId="0" shapeId="0">
      <text>
        <t>Loan: Wintrust, AMORTIZING. Interest = Beg Bal * 3.61% / 12</t>
      </text>
    </comment>
    <comment ref="F34" authorId="0" shapeId="0">
      <text>
        <t>Loan: Wintrust, AMORTIZING. Principal = Payment - Interest</t>
      </text>
    </comment>
    <comment ref="G34" authorId="0" shapeId="0">
      <text>
        <t>Loan: Wintrust, AMORTIZING. Closing = Opening - Principal</t>
      </text>
    </comment>
    <comment ref="C35" authorId="0" shapeId="0">
      <text>
        <t>Loan: Wintrust, AMORTIZING. Source: Meiborg_Debt_Schedule_202512.xlsx</t>
      </text>
    </comment>
    <comment ref="E35" authorId="0" shapeId="0">
      <text>
        <t>Loan: Wintrust, AMORTIZING. Interest = Beg Bal * 3.61% / 12</t>
      </text>
    </comment>
    <comment ref="F35" authorId="0" shapeId="0">
      <text>
        <t>Loan: Wintrust, AMORTIZING. Principal = Payment - Interest</t>
      </text>
    </comment>
    <comment ref="G35" authorId="0" shapeId="0">
      <text>
        <t>Loan: Wintrust, AMORTIZING. Closing = Opening - Principal</t>
      </text>
    </comment>
    <comment ref="C36" authorId="0" shapeId="0">
      <text>
        <t>Loan: Wintrust, AMORTIZING. Source: Meiborg_Debt_Schedule_202512.xlsx</t>
      </text>
    </comment>
    <comment ref="E36" authorId="0" shapeId="0">
      <text>
        <t>Loan: Wintrust, AMORTIZING. Interest = Beg Bal * 3.61% / 12</t>
      </text>
    </comment>
    <comment ref="F36" authorId="0" shapeId="0">
      <text>
        <t>Loan: Wintrust, AMORTIZING. Principal = Payment - Interest</t>
      </text>
    </comment>
    <comment ref="G36" authorId="0" shapeId="0">
      <text>
        <t>Loan: Wintrust, AMORTIZING. Closing = Opening - Principal</t>
      </text>
    </comment>
    <comment ref="C37" authorId="0" shapeId="0">
      <text>
        <t>Loan: Wintrust, AMORTIZING. Source: Meiborg_Debt_Schedule_202512.xlsx</t>
      </text>
    </comment>
    <comment ref="E37" authorId="0" shapeId="0">
      <text>
        <t>Loan: Wintrust, AMORTIZING. Interest = Beg Bal * 3.61% / 12</t>
      </text>
    </comment>
    <comment ref="F37" authorId="0" shapeId="0">
      <text>
        <t>Loan: Wintrust, AMORTIZING. Principal = Payment - Interest</t>
      </text>
    </comment>
    <comment ref="G37" authorId="0" shapeId="0">
      <text>
        <t>Loan: Wintrust, AMORTIZING. Closing = Opening - Principal</t>
      </text>
    </comment>
    <comment ref="C38" authorId="0" shapeId="0">
      <text>
        <t>Loan: Wintrust, AMORTIZING. Source: Meiborg_Debt_Schedule_202512.xlsx</t>
      </text>
    </comment>
    <comment ref="E38" authorId="0" shapeId="0">
      <text>
        <t>Loan: Wintrust, AMORTIZING. Interest = Beg Bal * 3.61% / 12</t>
      </text>
    </comment>
    <comment ref="F38" authorId="0" shapeId="0">
      <text>
        <t>Loan: Wintrust, AMORTIZING. Principal = Payment - Interest</t>
      </text>
    </comment>
    <comment ref="G38" authorId="0" shapeId="0">
      <text>
        <t>Loan: Wintrust, AMORTIZING. Closing = Opening - Principal</t>
      </text>
    </comment>
    <comment ref="C39" authorId="0" shapeId="0">
      <text>
        <t>Loan: Wintrust, AMORTIZING. Source: Meiborg_Debt_Schedule_202512.xlsx</t>
      </text>
    </comment>
    <comment ref="E39" authorId="0" shapeId="0">
      <text>
        <t>Loan: Wintrust, AMORTIZING. Interest = Beg Bal * 3.61% / 12</t>
      </text>
    </comment>
    <comment ref="F39" authorId="0" shapeId="0">
      <text>
        <t>Loan: Wintrust, AMORTIZING. Principal = Payment - Interest</t>
      </text>
    </comment>
    <comment ref="G39" authorId="0" shapeId="0">
      <text>
        <t>Loan: Wintrust, AMORTIZING. Closing = Opening - Principal</t>
      </text>
    </comment>
    <comment ref="C40" authorId="0" shapeId="0">
      <text>
        <t>Loan: Wintrust, AMORTIZING. Source: Meiborg_Debt_Schedule_202512.xlsx</t>
      </text>
    </comment>
    <comment ref="E40" authorId="0" shapeId="0">
      <text>
        <t>Loan: Wintrust, AMORTIZING. Interest = Beg Bal * 3.61% / 12</t>
      </text>
    </comment>
    <comment ref="F40" authorId="0" shapeId="0">
      <text>
        <t>Loan: Wintrust, AMORTIZING. Principal = Payment - Interest</t>
      </text>
    </comment>
    <comment ref="G40" authorId="0" shapeId="0">
      <text>
        <t>Loan: Wintrust, AMORTIZING. Closing = Opening - Principal</t>
      </text>
    </comment>
    <comment ref="C41" authorId="0" shapeId="0">
      <text>
        <t>Loan: Wintrust, AMORTIZING. Source: Meiborg_Debt_Schedule_202512.xlsx</t>
      </text>
    </comment>
    <comment ref="E41" authorId="0" shapeId="0">
      <text>
        <t>Loan: Wintrust, AMORTIZING. Interest = Beg Bal * 3.61% / 12</t>
      </text>
    </comment>
    <comment ref="F41" authorId="0" shapeId="0">
      <text>
        <t>Loan: Wintrust, AMORTIZING. Principal = Payment - Interest</t>
      </text>
    </comment>
    <comment ref="G41" authorId="0" shapeId="0">
      <text>
        <t>Loan: Wintrust, AMORTIZING. Closing = Opening - Principal</t>
      </text>
    </comment>
    <comment ref="C42" authorId="0" shapeId="0">
      <text>
        <t>Loan: Wintrust, AMORTIZING. Source: Meiborg_Debt_Schedule_202512.xlsx</t>
      </text>
    </comment>
    <comment ref="E42" authorId="0" shapeId="0">
      <text>
        <t>Loan: Wintrust, AMORTIZING. Interest = Beg Bal * 3.61% / 12</t>
      </text>
    </comment>
    <comment ref="F42" authorId="0" shapeId="0">
      <text>
        <t>Loan: Wintrust, AMORTIZING. Principal = Payment - Interest</t>
      </text>
    </comment>
    <comment ref="G42" authorId="0" shapeId="0">
      <text>
        <t>Loan: Wintrust, AMORTIZING. Closing = Opening - Principal</t>
      </text>
    </comment>
    <comment ref="C43" authorId="0" shapeId="0">
      <text>
        <t>Loan: Wintrust, AMORTIZING. Source: Meiborg_Debt_Schedule_202512.xlsx</t>
      </text>
    </comment>
    <comment ref="E43" authorId="0" shapeId="0">
      <text>
        <t>Loan: Wintrust, AMORTIZING. Interest = Beg Bal * 3.61% / 12</t>
      </text>
    </comment>
    <comment ref="F43" authorId="0" shapeId="0">
      <text>
        <t>Loan: Wintrust, AMORTIZING. Principal = Payment - Interest</t>
      </text>
    </comment>
    <comment ref="G43" authorId="0" shapeId="0">
      <text>
        <t>Loan: Wintrust, AMORTIZING. Closing = Opening - Principal</t>
      </text>
    </comment>
    <comment ref="C44" authorId="0" shapeId="0">
      <text>
        <t>Loan: Wintrust, AMORTIZING. Source: Meiborg_Debt_Schedule_202512.xlsx</t>
      </text>
    </comment>
    <comment ref="E44" authorId="0" shapeId="0">
      <text>
        <t>Loan: Wintrust, AMORTIZING. Interest = Beg Bal * 3.61% / 12</t>
      </text>
    </comment>
    <comment ref="F44" authorId="0" shapeId="0">
      <text>
        <t>Loan: Wintrust, AMORTIZING. Principal = Payment - Interest</t>
      </text>
    </comment>
    <comment ref="G44" authorId="0" shapeId="0">
      <text>
        <t>Loan: Wintrust, AMORTIZING. Closing = Opening - Principal</t>
      </text>
    </comment>
    <comment ref="E45" authorId="0" shapeId="0">
      <text>
        <t>Sum of rows 33-44: Monthly interest for 2027</t>
      </text>
    </comment>
    <comment ref="F45" authorId="0" shapeId="0">
      <text>
        <t>Sum of rows 33-44: Monthly principal for 2027</t>
      </text>
    </comment>
    <comment ref="C46" authorId="0" shapeId="0">
      <text>
        <t>Loan: Wintrust, AMORTIZING. Source: Meiborg_Debt_Schedule_202512.xlsx</t>
      </text>
    </comment>
    <comment ref="E46" authorId="0" shapeId="0">
      <text>
        <t>Loan: Wintrust, AMORTIZING. Interest = Beg Bal * 3.61% / 12</t>
      </text>
    </comment>
    <comment ref="F46" authorId="0" shapeId="0">
      <text>
        <t>Loan: Wintrust, AMORTIZING. Principal = Payment - Interest</t>
      </text>
    </comment>
    <comment ref="G46" authorId="0" shapeId="0">
      <text>
        <t>Loan: Wintrust, AMORTIZING. Closing = Opening - Principal</t>
      </text>
    </comment>
    <comment ref="C47" authorId="0" shapeId="0">
      <text>
        <t>Loan: Wintrust, AMORTIZING. Source: Meiborg_Debt_Schedule_202512.xlsx</t>
      </text>
    </comment>
    <comment ref="E47" authorId="0" shapeId="0">
      <text>
        <t>Loan: Wintrust, AMORTIZING. Interest = Beg Bal * 3.61% / 12</t>
      </text>
    </comment>
    <comment ref="F47" authorId="0" shapeId="0">
      <text>
        <t>Loan: Wintrust, AMORTIZING. Principal = Payment - Interest</t>
      </text>
    </comment>
    <comment ref="G47" authorId="0" shapeId="0">
      <text>
        <t>Loan: Wintrust, AMORTIZING. Closing = Opening - Principal</t>
      </text>
    </comment>
    <comment ref="C48" authorId="0" shapeId="0">
      <text>
        <t>Loan: Wintrust, AMORTIZING. Source: Meiborg_Debt_Schedule_202512.xlsx</t>
      </text>
    </comment>
    <comment ref="E48" authorId="0" shapeId="0">
      <text>
        <t>Loan: Wintrust, AMORTIZING. Interest = Beg Bal * 3.61% / 12</t>
      </text>
    </comment>
    <comment ref="F48" authorId="0" shapeId="0">
      <text>
        <t>Loan: Wintrust, AMORTIZING. Principal = Payment - Interest</t>
      </text>
    </comment>
    <comment ref="G48" authorId="0" shapeId="0">
      <text>
        <t>Loan: Wintrust, AMORTIZING. Closing = Opening - Principal</t>
      </text>
    </comment>
    <comment ref="C49" authorId="0" shapeId="0">
      <text>
        <t>Loan: Wintrust, AMORTIZING. Source: Meiborg_Debt_Schedule_202512.xlsx</t>
      </text>
    </comment>
    <comment ref="E49" authorId="0" shapeId="0">
      <text>
        <t>Loan: Wintrust, AMORTIZING. Interest = Beg Bal * 3.61% / 12</t>
      </text>
    </comment>
    <comment ref="F49" authorId="0" shapeId="0">
      <text>
        <t>Loan: Wintrust, AMORTIZING. Principal = Payment - Interest</t>
      </text>
    </comment>
    <comment ref="G49" authorId="0" shapeId="0">
      <text>
        <t>Loan: Wintrust, AMORTIZING. Closing = Opening - Principal</t>
      </text>
    </comment>
    <comment ref="C50" authorId="0" shapeId="0">
      <text>
        <t>Loan: Wintrust, AMORTIZING. Source: Meiborg_Debt_Schedule_202512.xlsx</t>
      </text>
    </comment>
    <comment ref="E50" authorId="0" shapeId="0">
      <text>
        <t>Loan: Wintrust, AMORTIZING. Interest = Beg Bal * 3.61% / 12</t>
      </text>
    </comment>
    <comment ref="F50" authorId="0" shapeId="0">
      <text>
        <t>Loan: Wintrust, AMORTIZING. Principal = Payment - Interest</t>
      </text>
    </comment>
    <comment ref="G50" authorId="0" shapeId="0">
      <text>
        <t>Loan: Wintrust, AMORTIZING. Closing = Opening - Principal</t>
      </text>
    </comment>
    <comment ref="C51" authorId="0" shapeId="0">
      <text>
        <t>Loan: Wintrust, AMORTIZING. Source: Meiborg_Debt_Schedule_202512.xlsx</t>
      </text>
    </comment>
    <comment ref="E51" authorId="0" shapeId="0">
      <text>
        <t>Loan: Wintrust, AMORTIZING. Interest = Beg Bal * 3.61% / 12</t>
      </text>
    </comment>
    <comment ref="F51" authorId="0" shapeId="0">
      <text>
        <t>Loan: Wintrust, AMORTIZING. Principal = Payment - Interest</t>
      </text>
    </comment>
    <comment ref="G51" authorId="0" shapeId="0">
      <text>
        <t>Loan: Wintrust, AMORTIZING. Closing = Opening - Principal</t>
      </text>
    </comment>
    <comment ref="C52" authorId="0" shapeId="0">
      <text>
        <t>Loan: Wintrust, AMORTIZING. Source: Meiborg_Debt_Schedule_202512.xlsx</t>
      </text>
    </comment>
    <comment ref="E52" authorId="0" shapeId="0">
      <text>
        <t>Loan: Wintrust, AMORTIZING. Interest = Beg Bal * 3.61% / 12</t>
      </text>
    </comment>
    <comment ref="F52" authorId="0" shapeId="0">
      <text>
        <t>Loan: Wintrust, AMORTIZING. Principal = Payment - Interest</t>
      </text>
    </comment>
    <comment ref="G52" authorId="0" shapeId="0">
      <text>
        <t>Loan: Wintrust, AMORTIZING. Closing = Opening - Principal</t>
      </text>
    </comment>
    <comment ref="C53" authorId="0" shapeId="0">
      <text>
        <t>Loan: Wintrust, AMORTIZING. Source: Meiborg_Debt_Schedule_202512.xlsx</t>
      </text>
    </comment>
    <comment ref="E53" authorId="0" shapeId="0">
      <text>
        <t>Loan: Wintrust, AMORTIZING. Interest = Beg Bal * 3.61% / 12</t>
      </text>
    </comment>
    <comment ref="F53" authorId="0" shapeId="0">
      <text>
        <t>Loan: Wintrust, AMORTIZING. Principal = Payment - Interest</t>
      </text>
    </comment>
    <comment ref="G53" authorId="0" shapeId="0">
      <text>
        <t>Loan: Wintrust, AMORTIZING. Closing = Opening - Principal</t>
      </text>
    </comment>
    <comment ref="C54" authorId="0" shapeId="0">
      <text>
        <t>Loan: Wintrust, AMORTIZING. Source: Meiborg_Debt_Schedule_202512.xlsx</t>
      </text>
    </comment>
    <comment ref="E54" authorId="0" shapeId="0">
      <text>
        <t>Loan: Wintrust, AMORTIZING. Interest = Beg Bal * 3.61% / 12</t>
      </text>
    </comment>
    <comment ref="F54" authorId="0" shapeId="0">
      <text>
        <t>Loan: Wintrust, AMORTIZING. Principal = Payment - Interest</t>
      </text>
    </comment>
    <comment ref="G54" authorId="0" shapeId="0">
      <text>
        <t>Loan: Wintrust, AMORTIZING. Closing = Opening - Principal</t>
      </text>
    </comment>
    <comment ref="C55" authorId="0" shapeId="0">
      <text>
        <t>Loan: Wintrust, AMORTIZING. Source: Meiborg_Debt_Schedule_202512.xlsx</t>
      </text>
    </comment>
    <comment ref="E55" authorId="0" shapeId="0">
      <text>
        <t>Loan: Wintrust, AMORTIZING. Interest = Beg Bal * 3.61% / 12</t>
      </text>
    </comment>
    <comment ref="F55" authorId="0" shapeId="0">
      <text>
        <t>Loan: Wintrust, AMORTIZING. Principal = Payment - Interest</t>
      </text>
    </comment>
    <comment ref="G55" authorId="0" shapeId="0">
      <text>
        <t>Loan: Wintrust, AMORTIZING. Closing = Opening - Principal</t>
      </text>
    </comment>
    <comment ref="C56" authorId="0" shapeId="0">
      <text>
        <t>Loan: Wintrust, AMORTIZING. Source: Meiborg_Debt_Schedule_202512.xlsx</t>
      </text>
    </comment>
    <comment ref="E56" authorId="0" shapeId="0">
      <text>
        <t>Loan: Wintrust, AMORTIZING. Interest = Beg Bal * 3.61% / 12</t>
      </text>
    </comment>
    <comment ref="F56" authorId="0" shapeId="0">
      <text>
        <t>Loan: Wintrust, AMORTIZING. Principal = Payment - Interest</t>
      </text>
    </comment>
    <comment ref="G56" authorId="0" shapeId="0">
      <text>
        <t>Loan: Wintrust, AMORTIZING. Closing = Opening - Principal</t>
      </text>
    </comment>
    <comment ref="C57" authorId="0" shapeId="0">
      <text>
        <t>Loan: Wintrust, AMORTIZING. Source: Meiborg_Debt_Schedule_202512.xlsx</t>
      </text>
    </comment>
    <comment ref="E57" authorId="0" shapeId="0">
      <text>
        <t>Loan: Wintrust, AMORTIZING. Interest = Beg Bal * 3.61% / 12</t>
      </text>
    </comment>
    <comment ref="F57" authorId="0" shapeId="0">
      <text>
        <t>Loan: Wintrust, AMORTIZING. Principal = Payment - Interest</t>
      </text>
    </comment>
    <comment ref="G57" authorId="0" shapeId="0">
      <text>
        <t>Loan: Wintrust, AMORTIZING. Closing = Opening - Principal</t>
      </text>
    </comment>
    <comment ref="E58" authorId="0" shapeId="0">
      <text>
        <t>Sum of rows 46-57: Monthly interest for 2028</t>
      </text>
    </comment>
    <comment ref="F58" authorId="0" shapeId="0">
      <text>
        <t>Sum of rows 46-57: Monthly principal for 2028</t>
      </text>
    </comment>
    <comment ref="C59" authorId="0" shapeId="0">
      <text>
        <t>Loan: Wintrust, AMORTIZING. Source: Meiborg_Debt_Schedule_202512.xlsx</t>
      </text>
    </comment>
    <comment ref="E59" authorId="0" shapeId="0">
      <text>
        <t>Loan: Wintrust, AMORTIZING. Interest = Beg Bal * 3.61% / 12</t>
      </text>
    </comment>
    <comment ref="F59" authorId="0" shapeId="0">
      <text>
        <t>Loan: Wintrust, AMORTIZING. Principal = Payment - Interest</t>
      </text>
    </comment>
    <comment ref="G59" authorId="0" shapeId="0">
      <text>
        <t>Loan: Wintrust, AMORTIZING. Closing = Opening - Principal</t>
      </text>
    </comment>
    <comment ref="C60" authorId="0" shapeId="0">
      <text>
        <t>Loan: Wintrust, AMORTIZING. Source: Meiborg_Debt_Schedule_202512.xlsx</t>
      </text>
    </comment>
    <comment ref="E60" authorId="0" shapeId="0">
      <text>
        <t>Loan: Wintrust, AMORTIZING. Interest = Beg Bal * 3.61% / 12</t>
      </text>
    </comment>
    <comment ref="F60" authorId="0" shapeId="0">
      <text>
        <t>Loan: Wintrust, AMORTIZING. Principal = Payment - Interest</t>
      </text>
    </comment>
    <comment ref="G60" authorId="0" shapeId="0">
      <text>
        <t>Loan: Wintrust, AMORTIZING. Closing = Opening - Principal</t>
      </text>
    </comment>
    <comment ref="C61" authorId="0" shapeId="0">
      <text>
        <t>Loan: Wintrust, AMORTIZING. Source: Meiborg_Debt_Schedule_202512.xlsx</t>
      </text>
    </comment>
    <comment ref="E61" authorId="0" shapeId="0">
      <text>
        <t>Loan: Wintrust, AMORTIZING. Interest = Beg Bal * 3.61% / 12</t>
      </text>
    </comment>
    <comment ref="F61" authorId="0" shapeId="0">
      <text>
        <t>Loan: Wintrust, AMORTIZING. Principal = Payment - Interest</t>
      </text>
    </comment>
    <comment ref="G61" authorId="0" shapeId="0">
      <text>
        <t>Loan: Wintrust, AMORTIZING. Closing = Opening - Principal</t>
      </text>
    </comment>
    <comment ref="C62" authorId="0" shapeId="0">
      <text>
        <t>Loan: Wintrust, AMORTIZING. Source: Meiborg_Debt_Schedule_202512.xlsx</t>
      </text>
    </comment>
    <comment ref="E62" authorId="0" shapeId="0">
      <text>
        <t>Loan: Wintrust, AMORTIZING. Interest = Beg Bal * 3.61% / 12</t>
      </text>
    </comment>
    <comment ref="F62" authorId="0" shapeId="0">
      <text>
        <t>Loan: Wintrust, AMORTIZING. Principal = Payment - Interest</t>
      </text>
    </comment>
    <comment ref="G62" authorId="0" shapeId="0">
      <text>
        <t>Loan: Wintrust, AMORTIZING. Closing = Opening - Principal</t>
      </text>
    </comment>
    <comment ref="C63" authorId="0" shapeId="0">
      <text>
        <t>Loan: Wintrust, AMORTIZING. Source: Meiborg_Debt_Schedule_202512.xlsx</t>
      </text>
    </comment>
    <comment ref="E63" authorId="0" shapeId="0">
      <text>
        <t>Loan: Wintrust, AMORTIZING. Interest = Beg Bal * 3.61% / 12</t>
      </text>
    </comment>
    <comment ref="F63" authorId="0" shapeId="0">
      <text>
        <t>Loan: Wintrust, AMORTIZING. Principal = Payment - Interest</t>
      </text>
    </comment>
    <comment ref="G63" authorId="0" shapeId="0">
      <text>
        <t>Loan: Wintrust, AMORTIZING. Closing = Opening - Principal</t>
      </text>
    </comment>
    <comment ref="C64" authorId="0" shapeId="0">
      <text>
        <t>Loan: Wintrust, AMORTIZING. Source: Meiborg_Debt_Schedule_202512.xlsx</t>
      </text>
    </comment>
    <comment ref="E64" authorId="0" shapeId="0">
      <text>
        <t>Loan: Wintrust, AMORTIZING. Interest = Beg Bal * 3.61% / 12</t>
      </text>
    </comment>
    <comment ref="F64" authorId="0" shapeId="0">
      <text>
        <t>Loan: Wintrust, AMORTIZING. Principal = Payment - Interest</t>
      </text>
    </comment>
    <comment ref="G64" authorId="0" shapeId="0">
      <text>
        <t>Loan: Wintrust, AMORTIZING. Closing = Opening - Principal</t>
      </text>
    </comment>
    <comment ref="C65" authorId="0" shapeId="0">
      <text>
        <t>Loan: Wintrust, AMORTIZING. Source: Meiborg_Debt_Schedule_202512.xlsx</t>
      </text>
    </comment>
    <comment ref="E65" authorId="0" shapeId="0">
      <text>
        <t>Loan: Wintrust, AMORTIZING. Interest = Beg Bal * 3.61% / 12</t>
      </text>
    </comment>
    <comment ref="F65" authorId="0" shapeId="0">
      <text>
        <t>Loan: Wintrust, AMORTIZING. Principal = Payment - Interest</t>
      </text>
    </comment>
    <comment ref="G65" authorId="0" shapeId="0">
      <text>
        <t>Loan: Wintrust, AMORTIZING. Closing = Opening - Principal</t>
      </text>
    </comment>
    <comment ref="C66" authorId="0" shapeId="0">
      <text>
        <t>Loan: Wintrust, AMORTIZING. Source: Meiborg_Debt_Schedule_202512.xlsx</t>
      </text>
    </comment>
    <comment ref="E66" authorId="0" shapeId="0">
      <text>
        <t>Loan: Wintrust, AMORTIZING. Interest = Beg Bal * 3.61% / 12</t>
      </text>
    </comment>
    <comment ref="F66" authorId="0" shapeId="0">
      <text>
        <t>Loan: Wintrust, AMORTIZING. Principal = Payment - Interest</t>
      </text>
    </comment>
    <comment ref="G66" authorId="0" shapeId="0">
      <text>
        <t>Loan: Wintrust, AMORTIZING. Closing = Opening - Principal</t>
      </text>
    </comment>
    <comment ref="C67" authorId="0" shapeId="0">
      <text>
        <t>Loan: Wintrust, AMORTIZING. Source: Meiborg_Debt_Schedule_202512.xlsx</t>
      </text>
    </comment>
    <comment ref="E67" authorId="0" shapeId="0">
      <text>
        <t>Loan: Wintrust, AMORTIZING. Interest = Beg Bal * 3.61% / 12</t>
      </text>
    </comment>
    <comment ref="F67" authorId="0" shapeId="0">
      <text>
        <t>Loan: Wintrust, AMORTIZING. Principal = Payment - Interest</t>
      </text>
    </comment>
    <comment ref="G67" authorId="0" shapeId="0">
      <text>
        <t>Loan: Wintrust, AMORTIZING. Closing = Opening - Principal</t>
      </text>
    </comment>
    <comment ref="C68" authorId="0" shapeId="0">
      <text>
        <t>Loan: Wintrust, AMORTIZING. Source: Meiborg_Debt_Schedule_202512.xlsx</t>
      </text>
    </comment>
    <comment ref="E68" authorId="0" shapeId="0">
      <text>
        <t>Loan: Wintrust, AMORTIZING. Interest = Beg Bal * 3.61% / 12</t>
      </text>
    </comment>
    <comment ref="F68" authorId="0" shapeId="0">
      <text>
        <t>Loan: Wintrust, AMORTIZING. Principal = Payment - Interest</t>
      </text>
    </comment>
    <comment ref="G68" authorId="0" shapeId="0">
      <text>
        <t>Loan: Wintrust, AMORTIZING. Closing = Opening - Principal</t>
      </text>
    </comment>
    <comment ref="C69" authorId="0" shapeId="0">
      <text>
        <t>Loan: Wintrust, AMORTIZING. Source: Meiborg_Debt_Schedule_202512.xlsx</t>
      </text>
    </comment>
    <comment ref="E69" authorId="0" shapeId="0">
      <text>
        <t>Loan: Wintrust, AMORTIZING. Interest = Beg Bal * 3.61% / 12</t>
      </text>
    </comment>
    <comment ref="F69" authorId="0" shapeId="0">
      <text>
        <t>Loan: Wintrust, AMORTIZING. Principal = Payment - Interest</t>
      </text>
    </comment>
    <comment ref="G69" authorId="0" shapeId="0">
      <text>
        <t>Loan: Wintrust, AMORTIZING. Closing = Opening - Principal</t>
      </text>
    </comment>
    <comment ref="C70" authorId="0" shapeId="0">
      <text>
        <t>Loan: Wintrust, AMORTIZING. Source: Meiborg_Debt_Schedule_202512.xlsx</t>
      </text>
    </comment>
    <comment ref="E70" authorId="0" shapeId="0">
      <text>
        <t>Loan: Wintrust, AMORTIZING. Interest = Beg Bal * 3.61% / 12</t>
      </text>
    </comment>
    <comment ref="F70" authorId="0" shapeId="0">
      <text>
        <t>Loan: Wintrust, AMORTIZING. Principal = Payment - Interest</t>
      </text>
    </comment>
    <comment ref="G70" authorId="0" shapeId="0">
      <text>
        <t>Loan: Wintrust, AMORTIZING. Closing = Opening - Principal</t>
      </text>
    </comment>
    <comment ref="E71" authorId="0" shapeId="0">
      <text>
        <t>Sum of rows 59-70: Monthly interest for 2029</t>
      </text>
    </comment>
    <comment ref="F71" authorId="0" shapeId="0">
      <text>
        <t>Sum of rows 59-70: Monthly principal for 2029</t>
      </text>
    </comment>
    <comment ref="C72" authorId="0" shapeId="0">
      <text>
        <t>Loan: Wintrust, AMORTIZING. Source: Meiborg_Debt_Schedule_202512.xlsx</t>
      </text>
    </comment>
    <comment ref="E72" authorId="0" shapeId="0">
      <text>
        <t>Loan: Wintrust, AMORTIZING. Interest = Beg Bal * 3.61% / 12</t>
      </text>
    </comment>
    <comment ref="F72" authorId="0" shapeId="0">
      <text>
        <t>Loan: Wintrust, AMORTIZING. Principal = Payment - Interest</t>
      </text>
    </comment>
    <comment ref="G72" authorId="0" shapeId="0">
      <text>
        <t>Loan: Wintrust, AMORTIZING. Closing = Opening - Principal</t>
      </text>
    </comment>
    <comment ref="C73" authorId="0" shapeId="0">
      <text>
        <t>Loan: Wintrust, AMORTIZING. Source: Meiborg_Debt_Schedule_202512.xlsx</t>
      </text>
    </comment>
    <comment ref="E73" authorId="0" shapeId="0">
      <text>
        <t>Loan: Wintrust, AMORTIZING. Interest = Beg Bal * 3.61% / 12</t>
      </text>
    </comment>
    <comment ref="F73" authorId="0" shapeId="0">
      <text>
        <t>Loan: Wintrust, AMORTIZING. Principal = Payment - Interest</t>
      </text>
    </comment>
    <comment ref="G73" authorId="0" shapeId="0">
      <text>
        <t>Loan: Wintrust, AMORTIZING. Closing = Opening - Principal</t>
      </text>
    </comment>
    <comment ref="C74" authorId="0" shapeId="0">
      <text>
        <t>Loan: Wintrust, AMORTIZING. Source: Meiborg_Debt_Schedule_202512.xlsx</t>
      </text>
    </comment>
    <comment ref="E74" authorId="0" shapeId="0">
      <text>
        <t>Loan: Wintrust, AMORTIZING. Interest = Beg Bal * 3.61% / 12</t>
      </text>
    </comment>
    <comment ref="F74" authorId="0" shapeId="0">
      <text>
        <t>Loan: Wintrust, AMORTIZING. Principal = Payment - Interest</t>
      </text>
    </comment>
    <comment ref="G74" authorId="0" shapeId="0">
      <text>
        <t>Loan: Wintrust, AMORTIZING. Closing = Opening - Principal</t>
      </text>
    </comment>
    <comment ref="C75" authorId="0" shapeId="0">
      <text>
        <t>Loan: Wintrust, AMORTIZING. Source: Meiborg_Debt_Schedule_202512.xlsx</t>
      </text>
    </comment>
    <comment ref="E75" authorId="0" shapeId="0">
      <text>
        <t>Loan: Wintrust, AMORTIZING. Interest = Beg Bal * 3.61% / 12</t>
      </text>
    </comment>
    <comment ref="F75" authorId="0" shapeId="0">
      <text>
        <t>Loan: Wintrust, AMORTIZING. Principal = Payment - Interest</t>
      </text>
    </comment>
    <comment ref="G75" authorId="0" shapeId="0">
      <text>
        <t>Loan: Wintrust, AMORTIZING. Closing = Opening - Principal</t>
      </text>
    </comment>
    <comment ref="C76" authorId="0" shapeId="0">
      <text>
        <t>Loan: Wintrust, AMORTIZING. Source: Meiborg_Debt_Schedule_202512.xlsx</t>
      </text>
    </comment>
    <comment ref="E76" authorId="0" shapeId="0">
      <text>
        <t>Loan: Wintrust, AMORTIZING. Interest = Beg Bal * 3.61% / 12</t>
      </text>
    </comment>
    <comment ref="F76" authorId="0" shapeId="0">
      <text>
        <t>Loan: Wintrust, AMORTIZING. Principal = Payment - Interest</t>
      </text>
    </comment>
    <comment ref="G76" authorId="0" shapeId="0">
      <text>
        <t>Loan: Wintrust, AMORTIZING. Closing = Opening - Principal</t>
      </text>
    </comment>
    <comment ref="C77" authorId="0" shapeId="0">
      <text>
        <t>Loan: Wintrust, AMORTIZING. Source: Meiborg_Debt_Schedule_202512.xlsx</t>
      </text>
    </comment>
    <comment ref="E77" authorId="0" shapeId="0">
      <text>
        <t>Loan: Wintrust, AMORTIZING. Interest = Beg Bal * 3.61% / 12</t>
      </text>
    </comment>
    <comment ref="F77" authorId="0" shapeId="0">
      <text>
        <t>Loan: Wintrust, AMORTIZING. Principal = Payment - Interest</t>
      </text>
    </comment>
    <comment ref="G77" authorId="0" shapeId="0">
      <text>
        <t>Loan: Wintrust, AMORTIZING. Closing = Opening - Principal</t>
      </text>
    </comment>
    <comment ref="C78" authorId="0" shapeId="0">
      <text>
        <t>Loan: Wintrust, AMORTIZING. Source: Meiborg_Debt_Schedule_202512.xlsx</t>
      </text>
    </comment>
    <comment ref="E78" authorId="0" shapeId="0">
      <text>
        <t>Loan: Wintrust, AMORTIZING. Interest = Beg Bal * 3.61% / 12</t>
      </text>
    </comment>
    <comment ref="F78" authorId="0" shapeId="0">
      <text>
        <t>Loan: Wintrust, AMORTIZING. Principal = Payment - Interest</t>
      </text>
    </comment>
    <comment ref="G78" authorId="0" shapeId="0">
      <text>
        <t>Loan: Wintrust, AMORTIZING. Closing = Opening - Principal</t>
      </text>
    </comment>
    <comment ref="C79" authorId="0" shapeId="0">
      <text>
        <t>Loan: Wintrust, AMORTIZING. Source: Meiborg_Debt_Schedule_202512.xlsx</t>
      </text>
    </comment>
    <comment ref="E79" authorId="0" shapeId="0">
      <text>
        <t>Loan: Wintrust, AMORTIZING. Interest = Beg Bal * 3.61% / 12</t>
      </text>
    </comment>
    <comment ref="F79" authorId="0" shapeId="0">
      <text>
        <t>Loan: Wintrust, AMORTIZING. Principal = Payment - Interest</t>
      </text>
    </comment>
    <comment ref="G79" authorId="0" shapeId="0">
      <text>
        <t>Loan: Wintrust, AMORTIZING. Closing = Opening - Principal</t>
      </text>
    </comment>
    <comment ref="C80" authorId="0" shapeId="0">
      <text>
        <t>Loan: Wintrust, AMORTIZING. Source: Meiborg_Debt_Schedule_202512.xlsx</t>
      </text>
    </comment>
    <comment ref="E80" authorId="0" shapeId="0">
      <text>
        <t>Loan: Wintrust, AMORTIZING. Interest = Beg Bal * 3.61% / 12</t>
      </text>
    </comment>
    <comment ref="F80" authorId="0" shapeId="0">
      <text>
        <t>Loan: Wintrust, AMORTIZING. Principal = Payment - Interest</t>
      </text>
    </comment>
    <comment ref="G80" authorId="0" shapeId="0">
      <text>
        <t>Loan: Wintrust, AMORTIZING. Closing = Opening - Principal</t>
      </text>
    </comment>
    <comment ref="C81" authorId="0" shapeId="0">
      <text>
        <t>Loan: Wintrust, AMORTIZING. Source: Meiborg_Debt_Schedule_202512.xlsx</t>
      </text>
    </comment>
    <comment ref="E81" authorId="0" shapeId="0">
      <text>
        <t>Loan: Wintrust, AMORTIZING. Interest = Beg Bal * 3.61% / 12</t>
      </text>
    </comment>
    <comment ref="F81" authorId="0" shapeId="0">
      <text>
        <t>Loan: Wintrust, AMORTIZING. Principal = Payment - Interest</t>
      </text>
    </comment>
    <comment ref="G81" authorId="0" shapeId="0">
      <text>
        <t>Loan: Wintrust, AMORTIZING. Closing = Opening - Principal</t>
      </text>
    </comment>
    <comment ref="C82" authorId="0" shapeId="0">
      <text>
        <t>Loan: Wintrust, AMORTIZING. Source: Meiborg_Debt_Schedule_202512.xlsx</t>
      </text>
    </comment>
    <comment ref="E82" authorId="0" shapeId="0">
      <text>
        <t>Loan: Wintrust, AMORTIZING. Interest = Beg Bal * 3.61% / 12</t>
      </text>
    </comment>
    <comment ref="F82" authorId="0" shapeId="0">
      <text>
        <t>Loan: Wintrust, AMORTIZING. Principal = Payment - Interest</t>
      </text>
    </comment>
    <comment ref="G82" authorId="0" shapeId="0">
      <text>
        <t>Loan: Wintrust, AMORTIZING. Closing = Opening - Principal</t>
      </text>
    </comment>
    <comment ref="C83" authorId="0" shapeId="0">
      <text>
        <t>Loan: Wintrust, AMORTIZING. Source: Meiborg_Debt_Schedule_202512.xlsx</t>
      </text>
    </comment>
    <comment ref="E83" authorId="0" shapeId="0">
      <text>
        <t>Loan: Wintrust, AMORTIZING. Interest = Beg Bal * 3.61% / 12</t>
      </text>
    </comment>
    <comment ref="F83" authorId="0" shapeId="0">
      <text>
        <t>Loan: Wintrust, AMORTIZING. Principal = Payment - Interest</t>
      </text>
    </comment>
    <comment ref="G83" authorId="0" shapeId="0">
      <text>
        <t>Loan: Wintrust, AMORTIZING. Closing = Opening - Principal</t>
      </text>
    </comment>
    <comment ref="E84" authorId="0" shapeId="0">
      <text>
        <t>Sum of rows 72-83: Monthly interest for 2030</t>
      </text>
    </comment>
    <comment ref="F84" authorId="0" shapeId="0">
      <text>
        <t>Sum of rows 72-83: Monthly principal for 2030</t>
      </text>
    </comment>
    <comment ref="C85" authorId="0" shapeId="0">
      <text>
        <t>Loan: Wintrust, AMORTIZING. Source: Meiborg_Debt_Schedule_202512.xlsx</t>
      </text>
    </comment>
    <comment ref="E85" authorId="0" shapeId="0">
      <text>
        <t>Loan: Wintrust, AMORTIZING. Interest = Beg Bal * 3.61% / 12</t>
      </text>
    </comment>
    <comment ref="F85" authorId="0" shapeId="0">
      <text>
        <t>Loan: Wintrust, AMORTIZING. Principal = Payment - Interest</t>
      </text>
    </comment>
    <comment ref="G85" authorId="0" shapeId="0">
      <text>
        <t>Loan: Wintrust, AMORTIZING. Closing = Opening - Principal</t>
      </text>
    </comment>
    <comment ref="C86" authorId="0" shapeId="0">
      <text>
        <t>Loan: Wintrust, AMORTIZING. Source: Meiborg_Debt_Schedule_202512.xlsx</t>
      </text>
    </comment>
    <comment ref="E86" authorId="0" shapeId="0">
      <text>
        <t>Loan: Wintrust, AMORTIZING. Interest = Beg Bal * 3.61% / 12</t>
      </text>
    </comment>
    <comment ref="F86" authorId="0" shapeId="0">
      <text>
        <t>Loan: Wintrust, AMORTIZING. Principal = Payment - Interest</t>
      </text>
    </comment>
    <comment ref="G86" authorId="0" shapeId="0">
      <text>
        <t>Loan: Wintrust, AMORTIZING. Closing = Opening - Principal</t>
      </text>
    </comment>
    <comment ref="C87" authorId="0" shapeId="0">
      <text>
        <t>Loan: Wintrust, AMORTIZING. Source: Meiborg_Debt_Schedule_202512.xlsx</t>
      </text>
    </comment>
    <comment ref="E87" authorId="0" shapeId="0">
      <text>
        <t>Loan: Wintrust, AMORTIZING. Interest = Beg Bal * 3.61% / 12</t>
      </text>
    </comment>
    <comment ref="F87" authorId="0" shapeId="0">
      <text>
        <t>Loan: Wintrust, AMORTIZING. Principal = Payment - Interest</t>
      </text>
    </comment>
    <comment ref="G87" authorId="0" shapeId="0">
      <text>
        <t>Loan: Wintrust, AMORTIZING. Closing = Opening - Principal</t>
      </text>
    </comment>
    <comment ref="C88" authorId="0" shapeId="0">
      <text>
        <t>Loan: Wintrust, AMORTIZING. Source: Meiborg_Debt_Schedule_202512.xlsx</t>
      </text>
    </comment>
    <comment ref="E88" authorId="0" shapeId="0">
      <text>
        <t>Loan: Wintrust, AMORTIZING. Interest = Beg Bal * 3.61% / 12</t>
      </text>
    </comment>
    <comment ref="F88" authorId="0" shapeId="0">
      <text>
        <t>Loan: Wintrust, AMORTIZING. Principal = Payment - Interest</t>
      </text>
    </comment>
    <comment ref="G88" authorId="0" shapeId="0">
      <text>
        <t>Loan: Wintrust, AMORTIZING. Closing = Opening - Principal</t>
      </text>
    </comment>
    <comment ref="C89" authorId="0" shapeId="0">
      <text>
        <t>Loan: Wintrust, AMORTIZING. Source: Meiborg_Debt_Schedule_202512.xlsx</t>
      </text>
    </comment>
    <comment ref="E89" authorId="0" shapeId="0">
      <text>
        <t>Loan: Wintrust, AMORTIZING. Interest = Beg Bal * 3.61% / 12</t>
      </text>
    </comment>
    <comment ref="F89" authorId="0" shapeId="0">
      <text>
        <t>Loan: Wintrust, AMORTIZING. Principal = Payment - Interest</t>
      </text>
    </comment>
    <comment ref="G89" authorId="0" shapeId="0">
      <text>
        <t>Loan: Wintrust, AMORTIZING. Closing = Opening - Principal</t>
      </text>
    </comment>
    <comment ref="C90" authorId="0" shapeId="0">
      <text>
        <t>Loan: Wintrust, AMORTIZING. Source: Meiborg_Debt_Schedule_202512.xlsx</t>
      </text>
    </comment>
    <comment ref="E90" authorId="0" shapeId="0">
      <text>
        <t>Loan: Wintrust, AMORTIZING. Interest = Beg Bal * 3.61% / 12</t>
      </text>
    </comment>
    <comment ref="F90" authorId="0" shapeId="0">
      <text>
        <t>Loan: Wintrust, AMORTIZING. Principal = Payment - Interest</t>
      </text>
    </comment>
    <comment ref="G90" authorId="0" shapeId="0">
      <text>
        <t>Loan: Wintrust, AMORTIZING. Closing = Opening - Principal</t>
      </text>
    </comment>
    <comment ref="C91" authorId="0" shapeId="0">
      <text>
        <t>Loan: Wintrust, AMORTIZING. Source: Meiborg_Debt_Schedule_202512.xlsx</t>
      </text>
    </comment>
    <comment ref="E91" authorId="0" shapeId="0">
      <text>
        <t>Loan: Wintrust, AMORTIZING. Interest = Beg Bal * 3.61% / 12</t>
      </text>
    </comment>
    <comment ref="F91" authorId="0" shapeId="0">
      <text>
        <t>Loan: Wintrust, AMORTIZING. Principal = Payment - Interest</t>
      </text>
    </comment>
    <comment ref="G91" authorId="0" shapeId="0">
      <text>
        <t>Loan: Wintrust, AMORTIZING. Closing = Opening - Principal</t>
      </text>
    </comment>
    <comment ref="C92" authorId="0" shapeId="0">
      <text>
        <t>Loan: Wintrust, AMORTIZING. Source: Meiborg_Debt_Schedule_202512.xlsx</t>
      </text>
    </comment>
    <comment ref="E92" authorId="0" shapeId="0">
      <text>
        <t>Loan: Wintrust, AMORTIZING. Interest = Beg Bal * 3.61% / 12</t>
      </text>
    </comment>
    <comment ref="F92" authorId="0" shapeId="0">
      <text>
        <t>Loan: Wintrust, AMORTIZING. Principal = Payment - Interest</t>
      </text>
    </comment>
    <comment ref="G92" authorId="0" shapeId="0">
      <text>
        <t>Loan: Wintrust, AMORTIZING. Closing = Opening - Principal</t>
      </text>
    </comment>
    <comment ref="C93" authorId="0" shapeId="0">
      <text>
        <t>Loan: Wintrust, AMORTIZING. Source: Meiborg_Debt_Schedule_202512.xlsx</t>
      </text>
    </comment>
    <comment ref="E93" authorId="0" shapeId="0">
      <text>
        <t>Loan: Wintrust, AMORTIZING. Interest = Beg Bal * 3.61% / 12</t>
      </text>
    </comment>
    <comment ref="F93" authorId="0" shapeId="0">
      <text>
        <t>Loan: Wintrust, AMORTIZING. Principal = Payment - Interest</t>
      </text>
    </comment>
    <comment ref="G93" authorId="0" shapeId="0">
      <text>
        <t>Loan: Wintrust, AMORTIZING. Closing = Opening - Principal</t>
      </text>
    </comment>
    <comment ref="C94" authorId="0" shapeId="0">
      <text>
        <t>Loan: Wintrust, AMORTIZING. Source: Meiborg_Debt_Schedule_202512.xlsx</t>
      </text>
    </comment>
    <comment ref="E94" authorId="0" shapeId="0">
      <text>
        <t>Loan: Wintrust, AMORTIZING. Interest = Beg Bal * 3.61% / 12</t>
      </text>
    </comment>
    <comment ref="F94" authorId="0" shapeId="0">
      <text>
        <t>Loan: Wintrust, AMORTIZING. Principal = Payment - Interest</t>
      </text>
    </comment>
    <comment ref="G94" authorId="0" shapeId="0">
      <text>
        <t>Loan: Wintrust, AMORTIZING. Closing = Opening - Principal</t>
      </text>
    </comment>
    <comment ref="C95" authorId="0" shapeId="0">
      <text>
        <t>Loan: Wintrust, AMORTIZING. Source: Meiborg_Debt_Schedule_202512.xlsx</t>
      </text>
    </comment>
    <comment ref="E95" authorId="0" shapeId="0">
      <text>
        <t>Loan: Wintrust, AMORTIZING. Interest = Beg Bal * 3.61% / 12</t>
      </text>
    </comment>
    <comment ref="F95" authorId="0" shapeId="0">
      <text>
        <t>Loan: Wintrust, AMORTIZING. Principal = Payment - Interest</t>
      </text>
    </comment>
    <comment ref="G95" authorId="0" shapeId="0">
      <text>
        <t>Loan: Wintrust, AMORTIZING. Closing = Opening - Principal</t>
      </text>
    </comment>
    <comment ref="C96" authorId="0" shapeId="0">
      <text>
        <t>Loan: Wintrust, AMORTIZING. Source: Meiborg_Debt_Schedule_202512.xlsx</t>
      </text>
    </comment>
    <comment ref="E96" authorId="0" shapeId="0">
      <text>
        <t>Loan: Wintrust, AMORTIZING. Interest = Beg Bal * 3.61% / 12</t>
      </text>
    </comment>
    <comment ref="F96" authorId="0" shapeId="0">
      <text>
        <t>Loan: Wintrust, AMORTIZING. Principal = Payment - Interest</t>
      </text>
    </comment>
    <comment ref="G96" authorId="0" shapeId="0">
      <text>
        <t>Loan: Wintrust, AMORTIZING. Closing = Opening - Principal</t>
      </text>
    </comment>
    <comment ref="E97" authorId="0" shapeId="0">
      <text>
        <t>Sum of rows 85-96: Monthly interest for 2031</t>
      </text>
    </comment>
    <comment ref="F97" authorId="0" shapeId="0">
      <text>
        <t>Sum of rows 85-96: Monthly principal for 2031</t>
      </text>
    </comment>
    <comment ref="C98" authorId="0" shapeId="0">
      <text>
        <t>Loan: Wintrust, AMORTIZING. Source: Meiborg_Debt_Schedule_202512.xlsx</t>
      </text>
    </comment>
    <comment ref="E98" authorId="0" shapeId="0">
      <text>
        <t>Loan: Wintrust, AMORTIZING. Interest = Beg Bal * 3.61% / 12</t>
      </text>
    </comment>
    <comment ref="F98" authorId="0" shapeId="0">
      <text>
        <t>Loan: Wintrust, AMORTIZING. Principal = Payment - Interest</t>
      </text>
    </comment>
    <comment ref="G98" authorId="0" shapeId="0">
      <text>
        <t>Loan: Wintrust, AMORTIZING. Closing = Opening - Principal</t>
      </text>
    </comment>
    <comment ref="C99" authorId="0" shapeId="0">
      <text>
        <t>Loan: Wintrust, AMORTIZING. Source: Meiborg_Debt_Schedule_202512.xlsx</t>
      </text>
    </comment>
    <comment ref="E99" authorId="0" shapeId="0">
      <text>
        <t>Loan: Wintrust, AMORTIZING. Interest = Beg Bal * 3.61% / 12</t>
      </text>
    </comment>
    <comment ref="F99" authorId="0" shapeId="0">
      <text>
        <t>Loan: Wintrust, AMORTIZING. Principal = Payment - Interest</t>
      </text>
    </comment>
    <comment ref="G99" authorId="0" shapeId="0">
      <text>
        <t>Loan: Wintrust, AMORTIZING. Closing = Opening - Principal</t>
      </text>
    </comment>
    <comment ref="C100" authorId="0" shapeId="0">
      <text>
        <t>Loan: Wintrust, AMORTIZING. Source: Meiborg_Debt_Schedule_202512.xlsx</t>
      </text>
    </comment>
    <comment ref="E100" authorId="0" shapeId="0">
      <text>
        <t>Loan: Wintrust, AMORTIZING. Interest = Beg Bal * 3.61% / 12</t>
      </text>
    </comment>
    <comment ref="F100" authorId="0" shapeId="0">
      <text>
        <t>Loan: Wintrust, AMORTIZING. Principal = Payment - Interest</t>
      </text>
    </comment>
    <comment ref="G100" authorId="0" shapeId="0">
      <text>
        <t>Loan: Wintrust, AMORTIZING. Closing = Opening - Principal</t>
      </text>
    </comment>
    <comment ref="C101" authorId="0" shapeId="0">
      <text>
        <t>Loan: Wintrust, AMORTIZING. Source: Meiborg_Debt_Schedule_202512.xlsx</t>
      </text>
    </comment>
    <comment ref="E101" authorId="0" shapeId="0">
      <text>
        <t>Loan: Wintrust, AMORTIZING. Interest = Beg Bal * 3.61% / 12</t>
      </text>
    </comment>
    <comment ref="F101" authorId="0" shapeId="0">
      <text>
        <t>Loan: Wintrust, AMORTIZING. Principal = Payment - Interest</t>
      </text>
    </comment>
    <comment ref="G101" authorId="0" shapeId="0">
      <text>
        <t>Loan: Wintrust, AMORTIZING. Closing = Opening - Principal</t>
      </text>
    </comment>
    <comment ref="C102" authorId="0" shapeId="0">
      <text>
        <t>Loan: Wintrust, AMORTIZING. Source: Meiborg_Debt_Schedule_202512.xlsx</t>
      </text>
    </comment>
    <comment ref="E102" authorId="0" shapeId="0">
      <text>
        <t>Loan: Wintrust, AMORTIZING. Interest = Beg Bal * 3.61% / 12</t>
      </text>
    </comment>
    <comment ref="F102" authorId="0" shapeId="0">
      <text>
        <t>Loan: Wintrust, AMORTIZING. Principal = Payment - Interest</t>
      </text>
    </comment>
    <comment ref="G102" authorId="0" shapeId="0">
      <text>
        <t>Loan: Wintrust, AMORTIZING. Closing = Opening - Principal</t>
      </text>
    </comment>
    <comment ref="C103" authorId="0" shapeId="0">
      <text>
        <t>Loan: Wintrust, AMORTIZING. Source: Meiborg_Debt_Schedule_202512.xlsx</t>
      </text>
    </comment>
    <comment ref="E103" authorId="0" shapeId="0">
      <text>
        <t>Loan: Wintrust, AMORTIZING. Interest = Beg Bal * 3.61% / 12</t>
      </text>
    </comment>
    <comment ref="F103" authorId="0" shapeId="0">
      <text>
        <t>Loan: Wintrust, AMORTIZING. Principal = Payment - Interest</t>
      </text>
    </comment>
    <comment ref="G103" authorId="0" shapeId="0">
      <text>
        <t>Loan: Wintrust, AMORTIZING. Closing = Opening - Principal</t>
      </text>
    </comment>
    <comment ref="C104" authorId="0" shapeId="0">
      <text>
        <t>Loan: Wintrust, AMORTIZING. Source: Meiborg_Debt_Schedule_202512.xlsx</t>
      </text>
    </comment>
    <comment ref="E104" authorId="0" shapeId="0">
      <text>
        <t>Loan: Wintrust, AMORTIZING. Interest = Beg Bal * 3.61% / 12</t>
      </text>
    </comment>
    <comment ref="F104" authorId="0" shapeId="0">
      <text>
        <t>Loan: Wintrust, AMORTIZING. Principal = Payment - Interest</t>
      </text>
    </comment>
    <comment ref="G104" authorId="0" shapeId="0">
      <text>
        <t>Loan: Wintrust, AMORTIZING. Closing = Opening - Principal</t>
      </text>
    </comment>
    <comment ref="C105" authorId="0" shapeId="0">
      <text>
        <t>Loan: Wintrust, AMORTIZING. Source: Meiborg_Debt_Schedule_202512.xlsx</t>
      </text>
    </comment>
    <comment ref="E105" authorId="0" shapeId="0">
      <text>
        <t>Loan: Wintrust, AMORTIZING. Interest = Beg Bal * 3.61% / 12</t>
      </text>
    </comment>
    <comment ref="F105" authorId="0" shapeId="0">
      <text>
        <t>Loan: Wintrust, AMORTIZING. Principal = Payment - Interest</t>
      </text>
    </comment>
    <comment ref="G105" authorId="0" shapeId="0">
      <text>
        <t>Loan: Wintrust, AMORTIZING. Closing = Opening - Principal</t>
      </text>
    </comment>
    <comment ref="C106" authorId="0" shapeId="0">
      <text>
        <t>Loan: Wintrust, AMORTIZING. Source: Meiborg_Debt_Schedule_202512.xlsx</t>
      </text>
    </comment>
    <comment ref="E106" authorId="0" shapeId="0">
      <text>
        <t>Loan: Wintrust, AMORTIZING. Interest = Beg Bal * 3.61% / 12</t>
      </text>
    </comment>
    <comment ref="F106" authorId="0" shapeId="0">
      <text>
        <t>Loan: Wintrust, AMORTIZING. Principal = Payment - Interest</t>
      </text>
    </comment>
    <comment ref="G106" authorId="0" shapeId="0">
      <text>
        <t>Loan: Wintrust, AMORTIZING. Closing = Opening - Principal</t>
      </text>
    </comment>
    <comment ref="C107" authorId="0" shapeId="0">
      <text>
        <t>Loan: Wintrust, AMORTIZING. Source: Meiborg_Debt_Schedule_202512.xlsx</t>
      </text>
    </comment>
    <comment ref="E107" authorId="0" shapeId="0">
      <text>
        <t>Loan: Wintrust, AMORTIZING. Interest = Beg Bal * 3.61% / 12</t>
      </text>
    </comment>
    <comment ref="F107" authorId="0" shapeId="0">
      <text>
        <t>Loan: Wintrust, AMORTIZING. Principal = Payment - Interest</t>
      </text>
    </comment>
    <comment ref="G107" authorId="0" shapeId="0">
      <text>
        <t>Loan: Wintrust, AMORTIZING. Closing = Opening - Principal</t>
      </text>
    </comment>
    <comment ref="C108" authorId="0" shapeId="0">
      <text>
        <t>Loan: Wintrust, AMORTIZING. Source: Meiborg_Debt_Schedule_202512.xlsx</t>
      </text>
    </comment>
    <comment ref="E108" authorId="0" shapeId="0">
      <text>
        <t>Loan: Wintrust, AMORTIZING. Interest = Beg Bal * 3.61% / 12</t>
      </text>
    </comment>
    <comment ref="F108" authorId="0" shapeId="0">
      <text>
        <t>Loan: Wintrust, AMORTIZING. Principal = Payment - Interest</t>
      </text>
    </comment>
    <comment ref="G108" authorId="0" shapeId="0">
      <text>
        <t>Loan: Wintrust, AMORTIZING. Closing = Opening - Principal</t>
      </text>
    </comment>
    <comment ref="C109" authorId="0" shapeId="0">
      <text>
        <t>Loan: Wintrust, AMORTIZING. Source: Meiborg_Debt_Schedule_202512.xlsx</t>
      </text>
    </comment>
    <comment ref="E109" authorId="0" shapeId="0">
      <text>
        <t>Loan: Wintrust, AMORTIZING. Interest = Beg Bal * 3.61% / 12</t>
      </text>
    </comment>
    <comment ref="F109" authorId="0" shapeId="0">
      <text>
        <t>Loan: Wintrust, AMORTIZING. Principal = Payment - Interest</t>
      </text>
    </comment>
    <comment ref="G109" authorId="0" shapeId="0">
      <text>
        <t>Loan: Wintrust, AMORTIZING. Closing = Opening - Principal</t>
      </text>
    </comment>
    <comment ref="E110" authorId="0" shapeId="0">
      <text>
        <t>Sum of rows 98-109: Monthly interest for 2032</t>
      </text>
    </comment>
    <comment ref="F110" authorId="0" shapeId="0">
      <text>
        <t>Sum of rows 98-109: Monthly principal for 2032</t>
      </text>
    </comment>
    <comment ref="C111" authorId="0" shapeId="0">
      <text>
        <t>Loan: Wintrust, AMORTIZING. Source: Meiborg_Debt_Schedule_202512.xlsx</t>
      </text>
    </comment>
    <comment ref="E111" authorId="0" shapeId="0">
      <text>
        <t>Loan: Wintrust, AMORTIZING. Interest = Beg Bal * 3.61% / 12</t>
      </text>
    </comment>
    <comment ref="F111" authorId="0" shapeId="0">
      <text>
        <t>Loan: Wintrust, AMORTIZING. Principal = Payment - Interest</t>
      </text>
    </comment>
    <comment ref="G111" authorId="0" shapeId="0">
      <text>
        <t>Loan: Wintrust, AMORTIZING. Closing = Opening - Principal</t>
      </text>
    </comment>
    <comment ref="C112" authorId="0" shapeId="0">
      <text>
        <t>Loan: Wintrust, AMORTIZING. Source: Meiborg_Debt_Schedule_202512.xlsx</t>
      </text>
    </comment>
    <comment ref="E112" authorId="0" shapeId="0">
      <text>
        <t>Loan: Wintrust, AMORTIZING. Interest = Beg Bal * 3.61% / 12</t>
      </text>
    </comment>
    <comment ref="F112" authorId="0" shapeId="0">
      <text>
        <t>Loan: Wintrust, AMORTIZING. Principal = Payment - Interest</t>
      </text>
    </comment>
    <comment ref="G112" authorId="0" shapeId="0">
      <text>
        <t>Loan: Wintrust, AMORTIZING. Closing = Opening - Principal</t>
      </text>
    </comment>
    <comment ref="C113" authorId="0" shapeId="0">
      <text>
        <t>Loan: Wintrust, AMORTIZING. Source: Meiborg_Debt_Schedule_202512.xlsx</t>
      </text>
    </comment>
    <comment ref="E113" authorId="0" shapeId="0">
      <text>
        <t>Loan: Wintrust, AMORTIZING. Interest = Beg Bal * 3.61% / 12</t>
      </text>
    </comment>
    <comment ref="F113" authorId="0" shapeId="0">
      <text>
        <t>Loan: Wintrust, AMORTIZING. Principal = Payment - Interest</t>
      </text>
    </comment>
    <comment ref="G113" authorId="0" shapeId="0">
      <text>
        <t>Loan: Wintrust, AMORTIZING. Closing = Opening - Principal</t>
      </text>
    </comment>
    <comment ref="C114" authorId="0" shapeId="0">
      <text>
        <t>Loan: Wintrust, AMORTIZING. Source: Meiborg_Debt_Schedule_202512.xlsx</t>
      </text>
    </comment>
    <comment ref="E114" authorId="0" shapeId="0">
      <text>
        <t>Loan: Wintrust, AMORTIZING. Interest = Beg Bal * 3.61% / 12</t>
      </text>
    </comment>
    <comment ref="F114" authorId="0" shapeId="0">
      <text>
        <t>Loan: Wintrust, AMORTIZING. Principal = Payment - Interest</t>
      </text>
    </comment>
    <comment ref="G114" authorId="0" shapeId="0">
      <text>
        <t>Loan: Wintrust, AMORTIZING. Closing = Opening - Principal</t>
      </text>
    </comment>
    <comment ref="C115" authorId="0" shapeId="0">
      <text>
        <t>Loan: Wintrust, AMORTIZING. Source: Meiborg_Debt_Schedule_202512.xlsx</t>
      </text>
    </comment>
    <comment ref="E115" authorId="0" shapeId="0">
      <text>
        <t>Loan: Wintrust, AMORTIZING. Interest = Beg Bal * 3.61% / 12</t>
      </text>
    </comment>
    <comment ref="F115" authorId="0" shapeId="0">
      <text>
        <t>Loan: Wintrust, AMORTIZING. Principal = Payment - Interest</t>
      </text>
    </comment>
    <comment ref="G115" authorId="0" shapeId="0">
      <text>
        <t>Loan: Wintrust, AMORTIZING. Closing = Opening - Principal</t>
      </text>
    </comment>
    <comment ref="C116" authorId="0" shapeId="0">
      <text>
        <t>Loan: Wintrust, AMORTIZING. Source: Meiborg_Debt_Schedule_202512.xlsx</t>
      </text>
    </comment>
    <comment ref="E116" authorId="0" shapeId="0">
      <text>
        <t>Loan: Wintrust, AMORTIZING. Interest = Beg Bal * 3.61% / 12</t>
      </text>
    </comment>
    <comment ref="F116" authorId="0" shapeId="0">
      <text>
        <t>Loan: Wintrust, AMORTIZING. Principal = Payment - Interest</t>
      </text>
    </comment>
    <comment ref="G116" authorId="0" shapeId="0">
      <text>
        <t>Loan: Wintrust, AMORTIZING. Closing = Opening - Principal</t>
      </text>
    </comment>
    <comment ref="C117" authorId="0" shapeId="0">
      <text>
        <t>Loan: Wintrust, AMORTIZING. Source: Meiborg_Debt_Schedule_202512.xlsx</t>
      </text>
    </comment>
    <comment ref="E117" authorId="0" shapeId="0">
      <text>
        <t>Loan: Wintrust, AMORTIZING. Interest = Beg Bal * 3.61% / 12</t>
      </text>
    </comment>
    <comment ref="F117" authorId="0" shapeId="0">
      <text>
        <t>Loan: Wintrust, AMORTIZING. Principal = Payment - Interest</t>
      </text>
    </comment>
    <comment ref="G117" authorId="0" shapeId="0">
      <text>
        <t>Loan: Wintrust, AMORTIZING. Closing = Opening - Principal</t>
      </text>
    </comment>
    <comment ref="C118" authorId="0" shapeId="0">
      <text>
        <t>Loan: Wintrust, AMORTIZING. Source: Meiborg_Debt_Schedule_202512.xlsx</t>
      </text>
    </comment>
    <comment ref="E118" authorId="0" shapeId="0">
      <text>
        <t>Loan: Wintrust, AMORTIZING. Interest = Beg Bal * 3.61% / 12</t>
      </text>
    </comment>
    <comment ref="F118" authorId="0" shapeId="0">
      <text>
        <t>Loan: Wintrust, AMORTIZING. Principal = Payment - Interest</t>
      </text>
    </comment>
    <comment ref="G118" authorId="0" shapeId="0">
      <text>
        <t>Loan: Wintrust, AMORTIZING. Closing = Opening - Principal</t>
      </text>
    </comment>
    <comment ref="C119" authorId="0" shapeId="0">
      <text>
        <t>Loan: Wintrust, AMORTIZING. Source: Meiborg_Debt_Schedule_202512.xlsx</t>
      </text>
    </comment>
    <comment ref="E119" authorId="0" shapeId="0">
      <text>
        <t>Loan: Wintrust, AMORTIZING. Interest = Beg Bal * 3.61% / 12</t>
      </text>
    </comment>
    <comment ref="F119" authorId="0" shapeId="0">
      <text>
        <t>Loan: Wintrust, AMORTIZING. Principal = Payment - Interest</t>
      </text>
    </comment>
    <comment ref="G119" authorId="0" shapeId="0">
      <text>
        <t>Loan: Wintrust, AMORTIZING. Closing = Opening - Principal</t>
      </text>
    </comment>
    <comment ref="C120" authorId="0" shapeId="0">
      <text>
        <t>Loan: Wintrust, AMORTIZING. Source: Meiborg_Debt_Schedule_202512.xlsx</t>
      </text>
    </comment>
    <comment ref="E120" authorId="0" shapeId="0">
      <text>
        <t>Loan: Wintrust, AMORTIZING. Interest = Beg Bal * 3.61% / 12</t>
      </text>
    </comment>
    <comment ref="F120" authorId="0" shapeId="0">
      <text>
        <t>Loan: Wintrust, AMORTIZING. Principal = Payment - Interest</t>
      </text>
    </comment>
    <comment ref="G120" authorId="0" shapeId="0">
      <text>
        <t>Loan: Wintrust, AMORTIZING. Closing = Opening - Principal</t>
      </text>
    </comment>
    <comment ref="C121" authorId="0" shapeId="0">
      <text>
        <t>Loan: Wintrust, AMORTIZING. Source: Meiborg_Debt_Schedule_202512.xlsx</t>
      </text>
    </comment>
    <comment ref="E121" authorId="0" shapeId="0">
      <text>
        <t>Loan: Wintrust, AMORTIZING. Interest = Beg Bal * 3.61% / 12</t>
      </text>
    </comment>
    <comment ref="F121" authorId="0" shapeId="0">
      <text>
        <t>Loan: Wintrust, AMORTIZING. Principal = Payment - Interest</t>
      </text>
    </comment>
    <comment ref="G121" authorId="0" shapeId="0">
      <text>
        <t>Loan: Wintrust, AMORTIZING. Closing = Opening - Principal</t>
      </text>
    </comment>
    <comment ref="C122" authorId="0" shapeId="0">
      <text>
        <t>Loan: Wintrust, AMORTIZING. Source: Meiborg_Debt_Schedule_202512.xlsx</t>
      </text>
    </comment>
    <comment ref="E122" authorId="0" shapeId="0">
      <text>
        <t>Loan: Wintrust, AMORTIZING. Interest = Beg Bal * 3.61% / 12</t>
      </text>
    </comment>
    <comment ref="F122" authorId="0" shapeId="0">
      <text>
        <t>Loan: Wintrust, AMORTIZING. Principal = Payment - Interest</t>
      </text>
    </comment>
    <comment ref="G122" authorId="0" shapeId="0">
      <text>
        <t>Loan: Wintrust, AMORTIZING. Closing = Opening - Principal</t>
      </text>
    </comment>
    <comment ref="E123" authorId="0" shapeId="0">
      <text>
        <t>Sum of rows 111-122: Monthly interest for 2033</t>
      </text>
    </comment>
    <comment ref="F123" authorId="0" shapeId="0">
      <text>
        <t>Sum of rows 111-122: Monthly principal for 2033</t>
      </text>
    </comment>
    <comment ref="C124" authorId="0" shapeId="0">
      <text>
        <t>Loan: Wintrust, AMORTIZING. Source: Meiborg_Debt_Schedule_202512.xlsx</t>
      </text>
    </comment>
    <comment ref="E124" authorId="0" shapeId="0">
      <text>
        <t>Loan: Wintrust, AMORTIZING. Interest = Beg Bal * 3.61% / 12</t>
      </text>
    </comment>
    <comment ref="F124" authorId="0" shapeId="0">
      <text>
        <t>Loan: Wintrust, AMORTIZING. Principal = Payment - Interest</t>
      </text>
    </comment>
    <comment ref="G124" authorId="0" shapeId="0">
      <text>
        <t>Loan: Wintrust, AMORTIZING. Closing = Opening - Principal</t>
      </text>
    </comment>
    <comment ref="C125" authorId="0" shapeId="0">
      <text>
        <t>Loan: Wintrust, AMORTIZING. Source: Meiborg_Debt_Schedule_202512.xlsx</t>
      </text>
    </comment>
    <comment ref="E125" authorId="0" shapeId="0">
      <text>
        <t>Loan: Wintrust, AMORTIZING. Interest = Beg Bal * 3.61% / 12</t>
      </text>
    </comment>
    <comment ref="F125" authorId="0" shapeId="0">
      <text>
        <t>Loan: Wintrust, AMORTIZING. Principal = Payment - Interest</t>
      </text>
    </comment>
    <comment ref="G125" authorId="0" shapeId="0">
      <text>
        <t>Loan: Wintrust, AMORTIZING. Closing = Opening - Principal</t>
      </text>
    </comment>
    <comment ref="C126" authorId="0" shapeId="0">
      <text>
        <t>Loan: Wintrust, AMORTIZING. Source: Meiborg_Debt_Schedule_202512.xlsx</t>
      </text>
    </comment>
    <comment ref="E126" authorId="0" shapeId="0">
      <text>
        <t>Loan: Wintrust, AMORTIZING. Interest = Beg Bal * 3.61% / 12</t>
      </text>
    </comment>
    <comment ref="F126" authorId="0" shapeId="0">
      <text>
        <t>Loan: Wintrust, AMORTIZING. Principal = Payment - Interest</t>
      </text>
    </comment>
    <comment ref="G126" authorId="0" shapeId="0">
      <text>
        <t>Loan: Wintrust, AMORTIZING. Closing = Opening - Principal</t>
      </text>
    </comment>
    <comment ref="C127" authorId="0" shapeId="0">
      <text>
        <t>Loan: Wintrust, AMORTIZING. Source: Meiborg_Debt_Schedule_202512.xlsx</t>
      </text>
    </comment>
    <comment ref="E127" authorId="0" shapeId="0">
      <text>
        <t>Loan: Wintrust, AMORTIZING. Interest = Beg Bal * 3.61% / 12</t>
      </text>
    </comment>
    <comment ref="F127" authorId="0" shapeId="0">
      <text>
        <t>Loan: Wintrust, AMORTIZING. Principal = Payment - Interest</t>
      </text>
    </comment>
    <comment ref="G127" authorId="0" shapeId="0">
      <text>
        <t>Loan: Wintrust, AMORTIZING. Closing = Opening - Principal</t>
      </text>
    </comment>
    <comment ref="C128" authorId="0" shapeId="0">
      <text>
        <t>Loan: Wintrust, AMORTIZING. Source: Meiborg_Debt_Schedule_202512.xlsx</t>
      </text>
    </comment>
    <comment ref="E128" authorId="0" shapeId="0">
      <text>
        <t>Loan: Wintrust, AMORTIZING. Interest = Beg Bal * 3.61% / 12</t>
      </text>
    </comment>
    <comment ref="F128" authorId="0" shapeId="0">
      <text>
        <t>Loan: Wintrust, AMORTIZING. Principal = Payment - Interest</t>
      </text>
    </comment>
    <comment ref="G128" authorId="0" shapeId="0">
      <text>
        <t>Loan: Wintrust, AMORTIZING. Closing = Opening - Principal</t>
      </text>
    </comment>
    <comment ref="C129" authorId="0" shapeId="0">
      <text>
        <t>Loan: Wintrust, AMORTIZING. Source: Meiborg_Debt_Schedule_202512.xlsx</t>
      </text>
    </comment>
    <comment ref="E129" authorId="0" shapeId="0">
      <text>
        <t>Loan: Wintrust, AMORTIZING. Interest = Beg Bal * 3.61% / 12</t>
      </text>
    </comment>
    <comment ref="F129" authorId="0" shapeId="0">
      <text>
        <t>Loan: Wintrust, AMORTIZING. Principal = Payment - Interest</t>
      </text>
    </comment>
    <comment ref="G129" authorId="0" shapeId="0">
      <text>
        <t>Loan: Wintrust, AMORTIZING. Closing = Opening - Principal</t>
      </text>
    </comment>
    <comment ref="C130" authorId="0" shapeId="0">
      <text>
        <t>Loan: Wintrust, AMORTIZING. Source: Meiborg_Debt_Schedule_202512.xlsx</t>
      </text>
    </comment>
    <comment ref="E130" authorId="0" shapeId="0">
      <text>
        <t>Loan: Wintrust, AMORTIZING. Interest = Beg Bal * 3.61% / 12</t>
      </text>
    </comment>
    <comment ref="F130" authorId="0" shapeId="0">
      <text>
        <t>Loan: Wintrust, AMORTIZING. Principal = Payment - Interest</t>
      </text>
    </comment>
    <comment ref="G130" authorId="0" shapeId="0">
      <text>
        <t>Loan: Wintrust, AMORTIZING. Closing = Opening - Principal</t>
      </text>
    </comment>
    <comment ref="C131" authorId="0" shapeId="0">
      <text>
        <t>Loan: Wintrust, AMORTIZING. Source: Meiborg_Debt_Schedule_202512.xlsx</t>
      </text>
    </comment>
    <comment ref="E131" authorId="0" shapeId="0">
      <text>
        <t>Loan: Wintrust, AMORTIZING. Interest = Beg Bal * 3.61% / 12</t>
      </text>
    </comment>
    <comment ref="F131" authorId="0" shapeId="0">
      <text>
        <t>Loan: Wintrust, AMORTIZING. Principal = Payment - Interest</t>
      </text>
    </comment>
    <comment ref="G131" authorId="0" shapeId="0">
      <text>
        <t>Loan: Wintrust, AMORTIZING. Closing = Opening - Principal</t>
      </text>
    </comment>
    <comment ref="C132" authorId="0" shapeId="0">
      <text>
        <t>Loan: Wintrust, AMORTIZING. Source: Meiborg_Debt_Schedule_202512.xlsx</t>
      </text>
    </comment>
    <comment ref="E132" authorId="0" shapeId="0">
      <text>
        <t>Loan: Wintrust, AMORTIZING. Interest = Beg Bal * 3.61% / 12</t>
      </text>
    </comment>
    <comment ref="F132" authorId="0" shapeId="0">
      <text>
        <t>Loan: Wintrust, AMORTIZING. Principal = Payment - Interest</t>
      </text>
    </comment>
    <comment ref="G132" authorId="0" shapeId="0">
      <text>
        <t>Loan: Wintrust, AMORTIZING. Closing = Opening - Principal</t>
      </text>
    </comment>
    <comment ref="C133" authorId="0" shapeId="0">
      <text>
        <t>Loan: Wintrust, AMORTIZING. Source: Meiborg_Debt_Schedule_202512.xlsx</t>
      </text>
    </comment>
    <comment ref="E133" authorId="0" shapeId="0">
      <text>
        <t>Loan: Wintrust, AMORTIZING. Interest = Beg Bal * 3.61% / 12</t>
      </text>
    </comment>
    <comment ref="F133" authorId="0" shapeId="0">
      <text>
        <t>Loan: Wintrust, AMORTIZING. Principal = Payment - Interest</t>
      </text>
    </comment>
    <comment ref="G133" authorId="0" shapeId="0">
      <text>
        <t>Loan: Wintrust, AMORTIZING. Closing = Opening - Principal</t>
      </text>
    </comment>
    <comment ref="C134" authorId="0" shapeId="0">
      <text>
        <t>Loan: Wintrust, AMORTIZING. Source: Meiborg_Debt_Schedule_202512.xlsx</t>
      </text>
    </comment>
    <comment ref="E134" authorId="0" shapeId="0">
      <text>
        <t>Loan: Wintrust, AMORTIZING. Interest = Beg Bal * 3.61% / 12</t>
      </text>
    </comment>
    <comment ref="F134" authorId="0" shapeId="0">
      <text>
        <t>Loan: Wintrust, AMORTIZING. Principal = Payment - Interest</t>
      </text>
    </comment>
    <comment ref="G134" authorId="0" shapeId="0">
      <text>
        <t>Loan: Wintrust, AMORTIZING. Closing = Opening - Principal</t>
      </text>
    </comment>
    <comment ref="C135" authorId="0" shapeId="0">
      <text>
        <t>Loan: Wintrust, AMORTIZING. Source: Meiborg_Debt_Schedule_202512.xlsx</t>
      </text>
    </comment>
    <comment ref="E135" authorId="0" shapeId="0">
      <text>
        <t>Loan: Wintrust, AMORTIZING. Interest = Beg Bal * 3.61% / 12</t>
      </text>
    </comment>
    <comment ref="F135" authorId="0" shapeId="0">
      <text>
        <t>Loan: Wintrust, AMORTIZING. Principal = Payment - Interest</t>
      </text>
    </comment>
    <comment ref="G135" authorId="0" shapeId="0">
      <text>
        <t>Loan: Wintrust, AMORTIZING. Closing = Opening - Principal</t>
      </text>
    </comment>
    <comment ref="E136" authorId="0" shapeId="0">
      <text>
        <t>Sum of rows 124-135: Monthly interest for 2034</t>
      </text>
    </comment>
    <comment ref="F136" authorId="0" shapeId="0">
      <text>
        <t>Sum of rows 124-135: Monthly principal for 2034</t>
      </text>
    </comment>
    <comment ref="C137" authorId="0" shapeId="0">
      <text>
        <t>Loan: Wintrust, AMORTIZING. Source: Meiborg_Debt_Schedule_202512.xlsx</t>
      </text>
    </comment>
    <comment ref="E137" authorId="0" shapeId="0">
      <text>
        <t>Loan: Wintrust, AMORTIZING. Interest = Beg Bal * 3.61% / 12</t>
      </text>
    </comment>
    <comment ref="F137" authorId="0" shapeId="0">
      <text>
        <t>Loan: Wintrust, AMORTIZING. Principal = Payment - Interest</t>
      </text>
    </comment>
    <comment ref="G137" authorId="0" shapeId="0">
      <text>
        <t>Loan: Wintrust, AMORTIZING. Closing = Opening - Principal</t>
      </text>
    </comment>
    <comment ref="C138" authorId="0" shapeId="0">
      <text>
        <t>Loan: Wintrust, AMORTIZING. Source: Meiborg_Debt_Schedule_202512.xlsx</t>
      </text>
    </comment>
    <comment ref="E138" authorId="0" shapeId="0">
      <text>
        <t>Loan: Wintrust, AMORTIZING. Interest = Beg Bal * 3.61% / 12</t>
      </text>
    </comment>
    <comment ref="F138" authorId="0" shapeId="0">
      <text>
        <t>Loan: Wintrust, AMORTIZING. Principal = Payment - Interest</t>
      </text>
    </comment>
    <comment ref="G138" authorId="0" shapeId="0">
      <text>
        <t>Loan: Wintrust, AMORTIZING. Closing = Opening - Principal</t>
      </text>
    </comment>
    <comment ref="C139" authorId="0" shapeId="0">
      <text>
        <t>Loan: Wintrust, AMORTIZING. Source: Meiborg_Debt_Schedule_202512.xlsx</t>
      </text>
    </comment>
    <comment ref="E139" authorId="0" shapeId="0">
      <text>
        <t>Loan: Wintrust, AMORTIZING. Interest = Beg Bal * 3.61% / 12</t>
      </text>
    </comment>
    <comment ref="F139" authorId="0" shapeId="0">
      <text>
        <t>Loan: Wintrust, AMORTIZING. Principal = Payment - Interest</t>
      </text>
    </comment>
    <comment ref="G139" authorId="0" shapeId="0">
      <text>
        <t>Loan: Wintrust, AMORTIZING. Closing = Opening - Principal</t>
      </text>
    </comment>
    <comment ref="C140" authorId="0" shapeId="0">
      <text>
        <t>Loan: Wintrust, AMORTIZING. Source: Meiborg_Debt_Schedule_202512.xlsx</t>
      </text>
    </comment>
    <comment ref="E140" authorId="0" shapeId="0">
      <text>
        <t>Loan: Wintrust, AMORTIZING. Interest = Beg Bal * 3.61% / 12</t>
      </text>
    </comment>
    <comment ref="F140" authorId="0" shapeId="0">
      <text>
        <t>Loan: Wintrust, AMORTIZING. Principal = Payment - Interest</t>
      </text>
    </comment>
    <comment ref="G140" authorId="0" shapeId="0">
      <text>
        <t>Loan: Wintrust, AMORTIZING. Closing = Opening - Principal</t>
      </text>
    </comment>
    <comment ref="C141" authorId="0" shapeId="0">
      <text>
        <t>Loan: Wintrust, AMORTIZING. Source: Meiborg_Debt_Schedule_202512.xlsx</t>
      </text>
    </comment>
    <comment ref="E141" authorId="0" shapeId="0">
      <text>
        <t>Loan: Wintrust, AMORTIZING. Interest = Beg Bal * 3.61% / 12</t>
      </text>
    </comment>
    <comment ref="F141" authorId="0" shapeId="0">
      <text>
        <t>Loan: Wintrust, AMORTIZING. Principal = Payment - Interest</t>
      </text>
    </comment>
    <comment ref="G141" authorId="0" shapeId="0">
      <text>
        <t>Loan: Wintrust, AMORTIZING. Closing = Opening - Principal</t>
      </text>
    </comment>
    <comment ref="C142" authorId="0" shapeId="0">
      <text>
        <t>Loan: Wintrust, AMORTIZING. Source: Meiborg_Debt_Schedule_202512.xlsx</t>
      </text>
    </comment>
    <comment ref="E142" authorId="0" shapeId="0">
      <text>
        <t>Loan: Wintrust, AMORTIZING. Interest = Beg Bal * 3.61% / 12</t>
      </text>
    </comment>
    <comment ref="F142" authorId="0" shapeId="0">
      <text>
        <t>Loan: Wintrust, AMORTIZING. Principal = Payment - Interest</t>
      </text>
    </comment>
    <comment ref="G142" authorId="0" shapeId="0">
      <text>
        <t>Loan: Wintrust, AMORTIZING. Closing = Opening - Principal</t>
      </text>
    </comment>
    <comment ref="C143" authorId="0" shapeId="0">
      <text>
        <t>Loan: Wintrust, AMORTIZING. Source: Meiborg_Debt_Schedule_202512.xlsx</t>
      </text>
    </comment>
    <comment ref="E143" authorId="0" shapeId="0">
      <text>
        <t>Loan: Wintrust, AMORTIZING. Interest = Beg Bal * 3.61% / 12</t>
      </text>
    </comment>
    <comment ref="F143" authorId="0" shapeId="0">
      <text>
        <t>Loan: Wintrust, AMORTIZING. Principal = Payment - Interest</t>
      </text>
    </comment>
    <comment ref="G143" authorId="0" shapeId="0">
      <text>
        <t>Loan: Wintrust, AMORTIZING. Closing = Opening - Principal</t>
      </text>
    </comment>
    <comment ref="C144" authorId="0" shapeId="0">
      <text>
        <t>Loan: Wintrust, AMORTIZING. Source: Meiborg_Debt_Schedule_202512.xlsx</t>
      </text>
    </comment>
    <comment ref="E144" authorId="0" shapeId="0">
      <text>
        <t>Loan: Wintrust, AMORTIZING. Interest = Beg Bal * 3.61% / 12</t>
      </text>
    </comment>
    <comment ref="F144" authorId="0" shapeId="0">
      <text>
        <t>Loan: Wintrust, AMORTIZING. Principal = Payment - Interest</t>
      </text>
    </comment>
    <comment ref="G144" authorId="0" shapeId="0">
      <text>
        <t>Loan: Wintrust, AMORTIZING. Closing = Opening - Principal</t>
      </text>
    </comment>
    <comment ref="C145" authorId="0" shapeId="0">
      <text>
        <t>Loan: Wintrust, AMORTIZING. Source: Meiborg_Debt_Schedule_202512.xlsx</t>
      </text>
    </comment>
    <comment ref="E145" authorId="0" shapeId="0">
      <text>
        <t>Loan: Wintrust, AMORTIZING. Interest = Beg Bal * 3.61% / 12</t>
      </text>
    </comment>
    <comment ref="F145" authorId="0" shapeId="0">
      <text>
        <t>Loan: Wintrust, AMORTIZING. Principal = Payment - Interest</t>
      </text>
    </comment>
    <comment ref="G145" authorId="0" shapeId="0">
      <text>
        <t>Loan: Wintrust, AMORTIZING. Closing = Opening - Principal</t>
      </text>
    </comment>
    <comment ref="C146" authorId="0" shapeId="0">
      <text>
        <t>Loan: Wintrust, AMORTIZING. Source: Meiborg_Debt_Schedule_202512.xlsx</t>
      </text>
    </comment>
    <comment ref="E146" authorId="0" shapeId="0">
      <text>
        <t>Loan: Wintrust, AMORTIZING. Interest = Beg Bal * 3.61% / 12</t>
      </text>
    </comment>
    <comment ref="F146" authorId="0" shapeId="0">
      <text>
        <t>Loan: Wintrust, AMORTIZING. Principal = Payment - Interest</t>
      </text>
    </comment>
    <comment ref="G146" authorId="0" shapeId="0">
      <text>
        <t>Loan: Wintrust, AMORTIZING. Closing = Opening - Principal</t>
      </text>
    </comment>
    <comment ref="C147" authorId="0" shapeId="0">
      <text>
        <t>Loan: Wintrust, AMORTIZING. Source: Meiborg_Debt_Schedule_202512.xlsx</t>
      </text>
    </comment>
    <comment ref="E147" authorId="0" shapeId="0">
      <text>
        <t>Loan: Wintrust, AMORTIZING. Interest = Beg Bal * 3.61% / 12</t>
      </text>
    </comment>
    <comment ref="F147" authorId="0" shapeId="0">
      <text>
        <t>Loan: Wintrust, AMORTIZING. Principal = Payment - Interest</t>
      </text>
    </comment>
    <comment ref="G147" authorId="0" shapeId="0">
      <text>
        <t>Loan: Wintrust, AMORTIZING. Closing = Opening - Principal</t>
      </text>
    </comment>
    <comment ref="C148" authorId="0" shapeId="0">
      <text>
        <t>Loan: Wintrust, AMORTIZING. Source: Meiborg_Debt_Schedule_202512.xlsx</t>
      </text>
    </comment>
    <comment ref="E148" authorId="0" shapeId="0">
      <text>
        <t>Loan: Wintrust, AMORTIZING. Interest = Beg Bal * 3.61% / 12</t>
      </text>
    </comment>
    <comment ref="F148" authorId="0" shapeId="0">
      <text>
        <t>Loan: Wintrust, AMORTIZING. Principal = Payment - Interest</t>
      </text>
    </comment>
    <comment ref="G148" authorId="0" shapeId="0">
      <text>
        <t>Loan: Wintrust, AMORTIZING. Closing = Opening - Principal</t>
      </text>
    </comment>
    <comment ref="E149" authorId="0" shapeId="0">
      <text>
        <t>Sum of rows 137-148: Monthly interest for 2035</t>
      </text>
    </comment>
    <comment ref="F149" authorId="0" shapeId="0">
      <text>
        <t>Sum of rows 137-148: Monthly principal for 2035</t>
      </text>
    </comment>
    <comment ref="C150" authorId="0" shapeId="0">
      <text>
        <t>Loan: Wintrust, AMORTIZING. Source: Meiborg_Debt_Schedule_202512.xlsx</t>
      </text>
    </comment>
    <comment ref="E150" authorId="0" shapeId="0">
      <text>
        <t>Loan: Wintrust, AMORTIZING. Interest = Beg Bal * 3.61% / 12</t>
      </text>
    </comment>
    <comment ref="F150" authorId="0" shapeId="0">
      <text>
        <t>Loan: Wintrust, AMORTIZING. Principal = Payment - Interest</t>
      </text>
    </comment>
    <comment ref="G150" authorId="0" shapeId="0">
      <text>
        <t>Loan: Wintrust, AMORTIZING. Closing = Opening - Principal</t>
      </text>
    </comment>
    <comment ref="C151" authorId="0" shapeId="0">
      <text>
        <t>Loan: Wintrust, AMORTIZING. Source: Meiborg_Debt_Schedule_202512.xlsx</t>
      </text>
    </comment>
    <comment ref="E151" authorId="0" shapeId="0">
      <text>
        <t>Loan: Wintrust, AMORTIZING. Interest = Beg Bal * 3.61% / 12</t>
      </text>
    </comment>
    <comment ref="F151" authorId="0" shapeId="0">
      <text>
        <t>Loan: Wintrust, AMORTIZING. Principal = Payment - Interest</t>
      </text>
    </comment>
    <comment ref="G151" authorId="0" shapeId="0">
      <text>
        <t>Loan: Wintrust, AMORTIZING. Closing = Opening - Principal</t>
      </text>
    </comment>
    <comment ref="C152" authorId="0" shapeId="0">
      <text>
        <t>Loan: Wintrust, AMORTIZING. Source: Meiborg_Debt_Schedule_202512.xlsx</t>
      </text>
    </comment>
    <comment ref="E152" authorId="0" shapeId="0">
      <text>
        <t>Loan: Wintrust, AMORTIZING. Interest = Beg Bal * 3.61% / 12</t>
      </text>
    </comment>
    <comment ref="F152" authorId="0" shapeId="0">
      <text>
        <t>Loan: Wintrust, AMORTIZING. Principal = Payment - Interest</t>
      </text>
    </comment>
    <comment ref="G152" authorId="0" shapeId="0">
      <text>
        <t>Loan: Wintrust, AMORTIZING. Closing = Opening - Principal</t>
      </text>
    </comment>
    <comment ref="C153" authorId="0" shapeId="0">
      <text>
        <t>Loan: Wintrust, AMORTIZING. Source: Meiborg_Debt_Schedule_202512.xlsx</t>
      </text>
    </comment>
    <comment ref="E153" authorId="0" shapeId="0">
      <text>
        <t>Loan: Wintrust, AMORTIZING. Interest = Beg Bal * 3.61% / 12</t>
      </text>
    </comment>
    <comment ref="F153" authorId="0" shapeId="0">
      <text>
        <t>Loan: Wintrust, AMORTIZING. Principal = Payment - Interest</t>
      </text>
    </comment>
    <comment ref="G153" authorId="0" shapeId="0">
      <text>
        <t>Loan: Wintrust, AMORTIZING. Closing = Opening - Principal</t>
      </text>
    </comment>
    <comment ref="C154" authorId="0" shapeId="0">
      <text>
        <t>Loan: Wintrust, AMORTIZING. Source: Meiborg_Debt_Schedule_202512.xlsx</t>
      </text>
    </comment>
    <comment ref="E154" authorId="0" shapeId="0">
      <text>
        <t>Loan: Wintrust, AMORTIZING. Interest = Beg Bal * 3.61% / 12</t>
      </text>
    </comment>
    <comment ref="F154" authorId="0" shapeId="0">
      <text>
        <t>Loan: Wintrust, AMORTIZING. Principal = Payment - Interest</t>
      </text>
    </comment>
    <comment ref="G154" authorId="0" shapeId="0">
      <text>
        <t>Loan: Wintrust, AMORTIZING. Closing = Opening - Principal</t>
      </text>
    </comment>
    <comment ref="C155" authorId="0" shapeId="0">
      <text>
        <t>Loan: Wintrust, AMORTIZING. Source: Meiborg_Debt_Schedule_202512.xlsx</t>
      </text>
    </comment>
    <comment ref="E155" authorId="0" shapeId="0">
      <text>
        <t>Loan: Wintrust, AMORTIZING. Interest = Beg Bal * 3.61% / 12</t>
      </text>
    </comment>
    <comment ref="F155" authorId="0" shapeId="0">
      <text>
        <t>Loan: Wintrust, AMORTIZING. Principal = Payment - Interest</t>
      </text>
    </comment>
    <comment ref="G155" authorId="0" shapeId="0">
      <text>
        <t>Loan: Wintrust, AMORTIZING. Closing = Opening - Principal</t>
      </text>
    </comment>
    <comment ref="C156" authorId="0" shapeId="0">
      <text>
        <t>Loan: Wintrust, AMORTIZING. Source: Meiborg_Debt_Schedule_202512.xlsx</t>
      </text>
    </comment>
    <comment ref="E156" authorId="0" shapeId="0">
      <text>
        <t>Loan: Wintrust, AMORTIZING. Interest = Beg Bal * 3.61% / 12</t>
      </text>
    </comment>
    <comment ref="F156" authorId="0" shapeId="0">
      <text>
        <t>Loan: Wintrust, AMORTIZING. Principal = Payment - Interest</t>
      </text>
    </comment>
    <comment ref="G156" authorId="0" shapeId="0">
      <text>
        <t>Loan: Wintrust, AMORTIZING. Closing = Opening - Principal</t>
      </text>
    </comment>
    <comment ref="C157" authorId="0" shapeId="0">
      <text>
        <t>Loan: Wintrust, AMORTIZING. Source: Meiborg_Debt_Schedule_202512.xlsx</t>
      </text>
    </comment>
    <comment ref="E157" authorId="0" shapeId="0">
      <text>
        <t>Loan: Wintrust, AMORTIZING. Interest = Beg Bal * 3.61% / 12</t>
      </text>
    </comment>
    <comment ref="F157" authorId="0" shapeId="0">
      <text>
        <t>Loan: Wintrust, AMORTIZING. Principal = Payment - Interest</t>
      </text>
    </comment>
    <comment ref="G157" authorId="0" shapeId="0">
      <text>
        <t>Loan: Wintrust, AMORTIZING. Closing = Opening - Principal</t>
      </text>
    </comment>
    <comment ref="C158" authorId="0" shapeId="0">
      <text>
        <t>Loan: Wintrust, AMORTIZING. Source: Meiborg_Debt_Schedule_202512.xlsx</t>
      </text>
    </comment>
    <comment ref="E158" authorId="0" shapeId="0">
      <text>
        <t>Loan: Wintrust, AMORTIZING. Interest = Beg Bal * 3.61% / 12</t>
      </text>
    </comment>
    <comment ref="F158" authorId="0" shapeId="0">
      <text>
        <t>Loan: Wintrust, AMORTIZING. Principal = Payment - Interest</t>
      </text>
    </comment>
    <comment ref="G158" authorId="0" shapeId="0">
      <text>
        <t>Loan: Wintrust, AMORTIZING. Closing = Opening - Principal</t>
      </text>
    </comment>
    <comment ref="C159" authorId="0" shapeId="0">
      <text>
        <t>Loan: Wintrust, AMORTIZING. Source: Meiborg_Debt_Schedule_202512.xlsx</t>
      </text>
    </comment>
    <comment ref="E159" authorId="0" shapeId="0">
      <text>
        <t>Loan: Wintrust, AMORTIZING. Interest = Beg Bal * 3.61% / 12</t>
      </text>
    </comment>
    <comment ref="F159" authorId="0" shapeId="0">
      <text>
        <t>Loan: Wintrust, AMORTIZING. Principal = Payment - Interest</t>
      </text>
    </comment>
    <comment ref="G159" authorId="0" shapeId="0">
      <text>
        <t>Loan: Wintrust, AMORTIZING. Closing = Opening - Principal</t>
      </text>
    </comment>
    <comment ref="C160" authorId="0" shapeId="0">
      <text>
        <t>Loan: Wintrust, AMORTIZING. Source: Meiborg_Debt_Schedule_202512.xlsx</t>
      </text>
    </comment>
    <comment ref="E160" authorId="0" shapeId="0">
      <text>
        <t>Loan: Wintrust, AMORTIZING. Interest = Beg Bal * 3.61% / 12</t>
      </text>
    </comment>
    <comment ref="F160" authorId="0" shapeId="0">
      <text>
        <t>Loan: Wintrust, AMORTIZING. Principal = Payment - Interest</t>
      </text>
    </comment>
    <comment ref="G160" authorId="0" shapeId="0">
      <text>
        <t>Loan: Wintrust, AMORTIZING. Closing = Opening - Principal</t>
      </text>
    </comment>
    <comment ref="C161" authorId="0" shapeId="0">
      <text>
        <t>Loan: Wintrust, AMORTIZING. Source: Meiborg_Debt_Schedule_202512.xlsx</t>
      </text>
    </comment>
    <comment ref="E161" authorId="0" shapeId="0">
      <text>
        <t>Loan: Wintrust, AMORTIZING. Interest = Beg Bal * 3.61% / 12</t>
      </text>
    </comment>
    <comment ref="F161" authorId="0" shapeId="0">
      <text>
        <t>Loan: Wintrust, AMORTIZING. Principal = Payment - Interest</t>
      </text>
    </comment>
    <comment ref="G161" authorId="0" shapeId="0">
      <text>
        <t>Loan: Wintrust, AMORTIZING. Closing = Opening - Principal</t>
      </text>
    </comment>
    <comment ref="E162" authorId="0" shapeId="0">
      <text>
        <t>Sum of rows 150-161: Monthly interest for 2036</t>
      </text>
    </comment>
    <comment ref="F162" authorId="0" shapeId="0">
      <text>
        <t>Sum of rows 150-161: Monthly principal for 2036</t>
      </text>
    </comment>
    <comment ref="C163" authorId="0" shapeId="0">
      <text>
        <t>Loan: Wintrust, AMORTIZING. Source: Meiborg_Debt_Schedule_202512.xlsx</t>
      </text>
    </comment>
    <comment ref="E163" authorId="0" shapeId="0">
      <text>
        <t>Loan: Wintrust, AMORTIZING. Interest = Beg Bal * 3.61% / 12</t>
      </text>
    </comment>
    <comment ref="F163" authorId="0" shapeId="0">
      <text>
        <t>Loan: Wintrust, AMORTIZING. Principal = Payment - Interest</t>
      </text>
    </comment>
    <comment ref="G163" authorId="0" shapeId="0">
      <text>
        <t>Loan: Wintrust, AMORTIZING. Closing = Opening - Principal</t>
      </text>
    </comment>
    <comment ref="C164" authorId="0" shapeId="0">
      <text>
        <t>Loan: Wintrust, AMORTIZING. Source: Meiborg_Debt_Schedule_202512.xlsx</t>
      </text>
    </comment>
    <comment ref="E164" authorId="0" shapeId="0">
      <text>
        <t>Loan: Wintrust, AMORTIZING. Interest = Beg Bal * 3.61% / 12</t>
      </text>
    </comment>
    <comment ref="F164" authorId="0" shapeId="0">
      <text>
        <t>Loan: Wintrust, AMORTIZING. Principal = Payment - Interest</t>
      </text>
    </comment>
    <comment ref="G164" authorId="0" shapeId="0">
      <text>
        <t>Loan: Wintrust, AMORTIZING. Closing = Opening - Principal</t>
      </text>
    </comment>
    <comment ref="C165" authorId="0" shapeId="0">
      <text>
        <t>Loan: Wintrust, AMORTIZING. Source: Meiborg_Debt_Schedule_202512.xlsx</t>
      </text>
    </comment>
    <comment ref="E165" authorId="0" shapeId="0">
      <text>
        <t>Loan: Wintrust, AMORTIZING. Interest = Beg Bal * 3.61% / 12</t>
      </text>
    </comment>
    <comment ref="F165" authorId="0" shapeId="0">
      <text>
        <t>Loan: Wintrust, AMORTIZING. Principal = Payment - Interest</t>
      </text>
    </comment>
    <comment ref="G165" authorId="0" shapeId="0">
      <text>
        <t>Loan: Wintrust, AMORTIZING. Closing = Opening - Principal</t>
      </text>
    </comment>
    <comment ref="C166" authorId="0" shapeId="0">
      <text>
        <t>Loan: Wintrust, AMORTIZING. Source: Meiborg_Debt_Schedule_202512.xlsx</t>
      </text>
    </comment>
    <comment ref="E166" authorId="0" shapeId="0">
      <text>
        <t>Loan: Wintrust, AMORTIZING. Interest = Beg Bal * 3.61% / 12</t>
      </text>
    </comment>
    <comment ref="F166" authorId="0" shapeId="0">
      <text>
        <t>Loan: Wintrust, AMORTIZING. Principal = Payment - Interest</t>
      </text>
    </comment>
    <comment ref="G166" authorId="0" shapeId="0">
      <text>
        <t>Loan: Wintrust, AMORTIZING. Closing = Opening - Principal</t>
      </text>
    </comment>
    <comment ref="C167" authorId="0" shapeId="0">
      <text>
        <t>Loan: Wintrust, AMORTIZING. Source: Meiborg_Debt_Schedule_202512.xlsx</t>
      </text>
    </comment>
    <comment ref="E167" authorId="0" shapeId="0">
      <text>
        <t>Loan: Wintrust, AMORTIZING. Interest = Beg Bal * 3.61% / 12</t>
      </text>
    </comment>
    <comment ref="F167" authorId="0" shapeId="0">
      <text>
        <t>Loan: Wintrust, AMORTIZING. Principal = Payment - Interest</t>
      </text>
    </comment>
    <comment ref="G167" authorId="0" shapeId="0">
      <text>
        <t>Loan: Wintrust, AMORTIZING. Closing = Opening - Principal</t>
      </text>
    </comment>
    <comment ref="C168" authorId="0" shapeId="0">
      <text>
        <t>Loan: Wintrust, AMORTIZING. Source: Meiborg_Debt_Schedule_202512.xlsx</t>
      </text>
    </comment>
    <comment ref="E168" authorId="0" shapeId="0">
      <text>
        <t>Loan: Wintrust, AMORTIZING. Interest = Beg Bal * 3.61% / 12</t>
      </text>
    </comment>
    <comment ref="F168" authorId="0" shapeId="0">
      <text>
        <t>Loan: Wintrust, AMORTIZING. Principal = Payment - Interest</t>
      </text>
    </comment>
    <comment ref="G168" authorId="0" shapeId="0">
      <text>
        <t>Loan: Wintrust, AMORTIZING. Closing = Opening - Principal</t>
      </text>
    </comment>
    <comment ref="C169" authorId="0" shapeId="0">
      <text>
        <t>Loan: Wintrust, AMORTIZING. Source: Meiborg_Debt_Schedule_202512.xlsx</t>
      </text>
    </comment>
    <comment ref="E169" authorId="0" shapeId="0">
      <text>
        <t>Loan: Wintrust, AMORTIZING. Interest = Beg Bal * 3.61% / 12</t>
      </text>
    </comment>
    <comment ref="F169" authorId="0" shapeId="0">
      <text>
        <t>Loan: Wintrust, AMORTIZING. Principal = Payment - Interest</t>
      </text>
    </comment>
    <comment ref="G169" authorId="0" shapeId="0">
      <text>
        <t>Loan: Wintrust, AMORTIZING. Closing = Opening - Principal</t>
      </text>
    </comment>
    <comment ref="C170" authorId="0" shapeId="0">
      <text>
        <t>Loan: Wintrust, AMORTIZING. Source: Meiborg_Debt_Schedule_202512.xlsx</t>
      </text>
    </comment>
    <comment ref="E170" authorId="0" shapeId="0">
      <text>
        <t>Loan: Wintrust, AMORTIZING. Interest = Beg Bal * 3.61% / 12</t>
      </text>
    </comment>
    <comment ref="F170" authorId="0" shapeId="0">
      <text>
        <t>Loan: Wintrust, AMORTIZING. Principal = Payment - Interest</t>
      </text>
    </comment>
    <comment ref="G170" authorId="0" shapeId="0">
      <text>
        <t>Loan: Wintrust, AMORTIZING. Closing = Opening - Principal</t>
      </text>
    </comment>
    <comment ref="C171" authorId="0" shapeId="0">
      <text>
        <t>Loan: Wintrust, AMORTIZING. Source: Meiborg_Debt_Schedule_202512.xlsx</t>
      </text>
    </comment>
    <comment ref="E171" authorId="0" shapeId="0">
      <text>
        <t>Loan: Wintrust, AMORTIZING. Interest = Beg Bal * 3.61% / 12</t>
      </text>
    </comment>
    <comment ref="F171" authorId="0" shapeId="0">
      <text>
        <t>Loan: Wintrust, AMORTIZING. Principal = Payment - Interest</t>
      </text>
    </comment>
    <comment ref="G171" authorId="0" shapeId="0">
      <text>
        <t>Loan: Wintrust, AMORTIZING. Closing = Opening - Principal</t>
      </text>
    </comment>
    <comment ref="C172" authorId="0" shapeId="0">
      <text>
        <t>Loan: Wintrust, AMORTIZING. Source: Meiborg_Debt_Schedule_202512.xlsx</t>
      </text>
    </comment>
    <comment ref="E172" authorId="0" shapeId="0">
      <text>
        <t>Loan: Wintrust, AMORTIZING. Interest = Beg Bal * 3.61% / 12</t>
      </text>
    </comment>
    <comment ref="F172" authorId="0" shapeId="0">
      <text>
        <t>Loan: Wintrust, AMORTIZING. Principal = Payment - Interest</t>
      </text>
    </comment>
    <comment ref="G172" authorId="0" shapeId="0">
      <text>
        <t>Loan: Wintrust, AMORTIZING. Closing = Opening - Principal</t>
      </text>
    </comment>
    <comment ref="C173" authorId="0" shapeId="0">
      <text>
        <t>Loan: Wintrust, AMORTIZING. Source: Meiborg_Debt_Schedule_202512.xlsx</t>
      </text>
    </comment>
    <comment ref="E173" authorId="0" shapeId="0">
      <text>
        <t>Loan: Wintrust, AMORTIZING. Interest = Beg Bal * 3.61% / 12</t>
      </text>
    </comment>
    <comment ref="F173" authorId="0" shapeId="0">
      <text>
        <t>Loan: Wintrust, AMORTIZING. Principal = Payment - Interest</t>
      </text>
    </comment>
    <comment ref="G173" authorId="0" shapeId="0">
      <text>
        <t>Loan: Wintrust, AMORTIZING. Closing = Opening - Principal</t>
      </text>
    </comment>
    <comment ref="C174" authorId="0" shapeId="0">
      <text>
        <t>Loan: Wintrust, AMORTIZING. Source: Meiborg_Debt_Schedule_202512.xlsx</t>
      </text>
    </comment>
    <comment ref="E174" authorId="0" shapeId="0">
      <text>
        <t>Loan: Wintrust, AMORTIZING. Interest = Beg Bal * 3.61% / 12</t>
      </text>
    </comment>
    <comment ref="F174" authorId="0" shapeId="0">
      <text>
        <t>Loan: Wintrust, AMORTIZING. Principal = Payment - Interest</t>
      </text>
    </comment>
    <comment ref="G174" authorId="0" shapeId="0">
      <text>
        <t>Loan: Wintrust, AMORTIZING. Closing = Opening - Principal</t>
      </text>
    </comment>
    <comment ref="E175" authorId="0" shapeId="0">
      <text>
        <t>Sum of rows 163-174: Monthly interest for 2037</t>
      </text>
    </comment>
    <comment ref="F175" authorId="0" shapeId="0">
      <text>
        <t>Sum of rows 163-174: Monthly principal for 2037</t>
      </text>
    </comment>
    <comment ref="C176" authorId="0" shapeId="0">
      <text>
        <t>Loan: Wintrust, AMORTIZING. Source: Meiborg_Debt_Schedule_202512.xlsx</t>
      </text>
    </comment>
    <comment ref="E176" authorId="0" shapeId="0">
      <text>
        <t>Loan: Wintrust, AMORTIZING. Interest = Beg Bal * 3.61% / 12</t>
      </text>
    </comment>
    <comment ref="F176" authorId="0" shapeId="0">
      <text>
        <t>Loan: Wintrust, AMORTIZING. Principal = Payment - Interest</t>
      </text>
    </comment>
    <comment ref="G176" authorId="0" shapeId="0">
      <text>
        <t>Loan: Wintrust, AMORTIZING. Closing = Opening - Principal</t>
      </text>
    </comment>
    <comment ref="C177" authorId="0" shapeId="0">
      <text>
        <t>Loan: Wintrust, AMORTIZING. Source: Meiborg_Debt_Schedule_202512.xlsx</t>
      </text>
    </comment>
    <comment ref="E177" authorId="0" shapeId="0">
      <text>
        <t>Loan: Wintrust, AMORTIZING. Interest = Beg Bal * 3.61% / 12</t>
      </text>
    </comment>
    <comment ref="F177" authorId="0" shapeId="0">
      <text>
        <t>Loan: Wintrust, AMORTIZING. Principal = Payment - Interest</t>
      </text>
    </comment>
    <comment ref="G177" authorId="0" shapeId="0">
      <text>
        <t>Loan: Wintrust, AMORTIZING. Closing = Opening - Principal</t>
      </text>
    </comment>
    <comment ref="C178" authorId="0" shapeId="0">
      <text>
        <t>Loan: Wintrust, AMORTIZING. Source: Meiborg_Debt_Schedule_202512.xlsx</t>
      </text>
    </comment>
    <comment ref="E178" authorId="0" shapeId="0">
      <text>
        <t>Loan: Wintrust, AMORTIZING. Interest = Beg Bal * 3.61% / 12</t>
      </text>
    </comment>
    <comment ref="F178" authorId="0" shapeId="0">
      <text>
        <t>Loan: Wintrust, AMORTIZING. Principal = Payment - Interest</t>
      </text>
    </comment>
    <comment ref="G178" authorId="0" shapeId="0">
      <text>
        <t>Loan: Wintrust, AMORTIZING. Closing = Opening - Principal</t>
      </text>
    </comment>
    <comment ref="C179" authorId="0" shapeId="0">
      <text>
        <t>Loan: Wintrust, AMORTIZING. Source: Meiborg_Debt_Schedule_202512.xlsx</t>
      </text>
    </comment>
    <comment ref="E179" authorId="0" shapeId="0">
      <text>
        <t>Loan: Wintrust, AMORTIZING. Interest = Beg Bal * 3.61% / 12</t>
      </text>
    </comment>
    <comment ref="F179" authorId="0" shapeId="0">
      <text>
        <t>Loan: Wintrust, AMORTIZING. Principal = Payment - Interest</t>
      </text>
    </comment>
    <comment ref="G179" authorId="0" shapeId="0">
      <text>
        <t>Loan: Wintrust, AMORTIZING. Closing = Opening - Principal</t>
      </text>
    </comment>
    <comment ref="C180" authorId="0" shapeId="0">
      <text>
        <t>Loan: Wintrust, AMORTIZING. Source: Meiborg_Debt_Schedule_202512.xlsx</t>
      </text>
    </comment>
    <comment ref="E180" authorId="0" shapeId="0">
      <text>
        <t>Loan: Wintrust, AMORTIZING. Interest = Beg Bal * 3.61% / 12</t>
      </text>
    </comment>
    <comment ref="F180" authorId="0" shapeId="0">
      <text>
        <t>Loan: Wintrust, AMORTIZING. Principal = Payment - Interest</t>
      </text>
    </comment>
    <comment ref="G180" authorId="0" shapeId="0">
      <text>
        <t>Loan: Wintrust, AMORTIZING. Closing = Opening - Principal</t>
      </text>
    </comment>
    <comment ref="C181" authorId="0" shapeId="0">
      <text>
        <t>Loan: Wintrust, AMORTIZING. Source: Meiborg_Debt_Schedule_202512.xlsx</t>
      </text>
    </comment>
    <comment ref="E181" authorId="0" shapeId="0">
      <text>
        <t>Loan: Wintrust, AMORTIZING. Interest = Beg Bal * 3.61% / 12</t>
      </text>
    </comment>
    <comment ref="F181" authorId="0" shapeId="0">
      <text>
        <t>Loan: Wintrust, AMORTIZING. Principal = Payment - Interest</t>
      </text>
    </comment>
    <comment ref="G181" authorId="0" shapeId="0">
      <text>
        <t>Loan: Wintrust, AMORTIZING. Closing = Opening - Principal</t>
      </text>
    </comment>
    <comment ref="C182" authorId="0" shapeId="0">
      <text>
        <t>Loan: Wintrust, AMORTIZING. Source: Meiborg_Debt_Schedule_202512.xlsx</t>
      </text>
    </comment>
    <comment ref="E182" authorId="0" shapeId="0">
      <text>
        <t>Loan: Wintrust, AMORTIZING. Interest = Beg Bal * 3.61% / 12</t>
      </text>
    </comment>
    <comment ref="F182" authorId="0" shapeId="0">
      <text>
        <t>Loan: Wintrust, AMORTIZING. Principal = Payment - Interest</t>
      </text>
    </comment>
    <comment ref="G182" authorId="0" shapeId="0">
      <text>
        <t>Loan: Wintrust, AMORTIZING. Closing = Opening - Principal</t>
      </text>
    </comment>
    <comment ref="C183" authorId="0" shapeId="0">
      <text>
        <t>Loan: Wintrust, AMORTIZING. Source: Meiborg_Debt_Schedule_202512.xlsx</t>
      </text>
    </comment>
    <comment ref="E183" authorId="0" shapeId="0">
      <text>
        <t>Loan: Wintrust, AMORTIZING. Interest = Beg Bal * 3.61% / 12</t>
      </text>
    </comment>
    <comment ref="F183" authorId="0" shapeId="0">
      <text>
        <t>Loan: Wintrust, AMORTIZING. Principal = Payment - Interest</t>
      </text>
    </comment>
    <comment ref="G183" authorId="0" shapeId="0">
      <text>
        <t>Loan: Wintrust, AMORTIZING. Closing = Opening - Principal</t>
      </text>
    </comment>
    <comment ref="C184" authorId="0" shapeId="0">
      <text>
        <t>Loan: Wintrust, AMORTIZING. Source: Meiborg_Debt_Schedule_202512.xlsx</t>
      </text>
    </comment>
    <comment ref="E184" authorId="0" shapeId="0">
      <text>
        <t>Loan: Wintrust, AMORTIZING. Interest = Beg Bal * 3.61% / 12</t>
      </text>
    </comment>
    <comment ref="F184" authorId="0" shapeId="0">
      <text>
        <t>Loan: Wintrust, AMORTIZING. Principal = Payment - Interest</t>
      </text>
    </comment>
    <comment ref="G184" authorId="0" shapeId="0">
      <text>
        <t>Loan: Wintrust, AMORTIZING. Closing = Opening - Principal</t>
      </text>
    </comment>
    <comment ref="C185" authorId="0" shapeId="0">
      <text>
        <t>Loan: Wintrust, AMORTIZING. Source: Meiborg_Debt_Schedule_202512.xlsx</t>
      </text>
    </comment>
    <comment ref="E185" authorId="0" shapeId="0">
      <text>
        <t>Loan: Wintrust, AMORTIZING. Interest = Beg Bal * 3.61% / 12</t>
      </text>
    </comment>
    <comment ref="F185" authorId="0" shapeId="0">
      <text>
        <t>Loan: Wintrust, AMORTIZING. Principal = Payment - Interest</t>
      </text>
    </comment>
    <comment ref="G185" authorId="0" shapeId="0">
      <text>
        <t>Loan: Wintrust, AMORTIZING. Closing = Opening - Principal</t>
      </text>
    </comment>
    <comment ref="C186" authorId="0" shapeId="0">
      <text>
        <t>Loan: Wintrust, AMORTIZING. Source: Meiborg_Debt_Schedule_202512.xlsx</t>
      </text>
    </comment>
    <comment ref="E186" authorId="0" shapeId="0">
      <text>
        <t>Loan: Wintrust, AMORTIZING. Interest = Beg Bal * 3.61% / 12</t>
      </text>
    </comment>
    <comment ref="F186" authorId="0" shapeId="0">
      <text>
        <t>Loan: Wintrust, AMORTIZING. Principal = Payment - Interest</t>
      </text>
    </comment>
    <comment ref="G186" authorId="0" shapeId="0">
      <text>
        <t>Loan: Wintrust, AMORTIZING. Closing = Opening - Principal</t>
      </text>
    </comment>
    <comment ref="C187" authorId="0" shapeId="0">
      <text>
        <t>Loan: Wintrust, AMORTIZING. Source: Meiborg_Debt_Schedule_202512.xlsx</t>
      </text>
    </comment>
    <comment ref="E187" authorId="0" shapeId="0">
      <text>
        <t>Loan: Wintrust, AMORTIZING. Interest = Beg Bal * 3.61% / 12</t>
      </text>
    </comment>
    <comment ref="F187" authorId="0" shapeId="0">
      <text>
        <t>Loan: Wintrust, AMORTIZING. Principal = Payment - Interest</t>
      </text>
    </comment>
    <comment ref="G187" authorId="0" shapeId="0">
      <text>
        <t>Loan: Wintrust, AMORTIZING. Closing = Opening - Principal</t>
      </text>
    </comment>
    <comment ref="E188" authorId="0" shapeId="0">
      <text>
        <t>Sum of rows 176-187: Monthly interest for 2038</t>
      </text>
    </comment>
    <comment ref="F188" authorId="0" shapeId="0">
      <text>
        <t>Sum of rows 176-187: Monthly principal for 2038</t>
      </text>
    </comment>
    <comment ref="C189" authorId="0" shapeId="0">
      <text>
        <t>Loan: Wintrust, AMORTIZING. Source: Meiborg_Debt_Schedule_202512.xlsx</t>
      </text>
    </comment>
    <comment ref="E189" authorId="0" shapeId="0">
      <text>
        <t>Loan: Wintrust, AMORTIZING. Interest = Beg Bal * 3.61% / 12</t>
      </text>
    </comment>
    <comment ref="F189" authorId="0" shapeId="0">
      <text>
        <t>Loan: Wintrust, AMORTIZING. Principal = Payment - Interest</t>
      </text>
    </comment>
    <comment ref="G189" authorId="0" shapeId="0">
      <text>
        <t>Loan: Wintrust, AMORTIZING. Closing = Opening - Principal</t>
      </text>
    </comment>
    <comment ref="C190" authorId="0" shapeId="0">
      <text>
        <t>Loan: Wintrust, AMORTIZING. Source: Meiborg_Debt_Schedule_202512.xlsx</t>
      </text>
    </comment>
    <comment ref="E190" authorId="0" shapeId="0">
      <text>
        <t>Loan: Wintrust, AMORTIZING. Interest = Beg Bal * 3.61% / 12</t>
      </text>
    </comment>
    <comment ref="F190" authorId="0" shapeId="0">
      <text>
        <t>Loan: Wintrust, AMORTIZING. Principal = Payment - Interest</t>
      </text>
    </comment>
    <comment ref="G190" authorId="0" shapeId="0">
      <text>
        <t>Loan: Wintrust, AMORTIZING. Closing = Opening - Principal</t>
      </text>
    </comment>
    <comment ref="C191" authorId="0" shapeId="0">
      <text>
        <t>Loan: Wintrust, AMORTIZING. Source: Meiborg_Debt_Schedule_202512.xlsx</t>
      </text>
    </comment>
    <comment ref="E191" authorId="0" shapeId="0">
      <text>
        <t>Loan: Wintrust, AMORTIZING. Interest = Beg Bal * 3.61% / 12</t>
      </text>
    </comment>
    <comment ref="F191" authorId="0" shapeId="0">
      <text>
        <t>Loan: Wintrust, AMORTIZING. Principal = Payment - Interest</t>
      </text>
    </comment>
    <comment ref="G191" authorId="0" shapeId="0">
      <text>
        <t>Loan: Wintrust, AMORTIZING. Closing = Opening - Principal</t>
      </text>
    </comment>
    <comment ref="C192" authorId="0" shapeId="0">
      <text>
        <t>Loan: Wintrust, AMORTIZING. Source: Meiborg_Debt_Schedule_202512.xlsx</t>
      </text>
    </comment>
    <comment ref="E192" authorId="0" shapeId="0">
      <text>
        <t>Loan: Wintrust, AMORTIZING. Interest = Beg Bal * 3.61% / 12</t>
      </text>
    </comment>
    <comment ref="F192" authorId="0" shapeId="0">
      <text>
        <t>Loan: Wintrust, AMORTIZING. Principal = Payment - Interest</t>
      </text>
    </comment>
    <comment ref="G192" authorId="0" shapeId="0">
      <text>
        <t>Loan: Wintrust, AMORTIZING. Closing = Opening - Principal</t>
      </text>
    </comment>
    <comment ref="C193" authorId="0" shapeId="0">
      <text>
        <t>Loan: Wintrust, AMORTIZING. Source: Meiborg_Debt_Schedule_202512.xlsx</t>
      </text>
    </comment>
    <comment ref="E193" authorId="0" shapeId="0">
      <text>
        <t>Loan: Wintrust, AMORTIZING. Interest = Beg Bal * 3.61% / 12</t>
      </text>
    </comment>
    <comment ref="F193" authorId="0" shapeId="0">
      <text>
        <t>Loan: Wintrust, AMORTIZING. Principal = Payment - Interest</t>
      </text>
    </comment>
    <comment ref="G193" authorId="0" shapeId="0">
      <text>
        <t>Loan: Wintrust, AMORTIZING. Closing = Opening - Principal</t>
      </text>
    </comment>
    <comment ref="C194" authorId="0" shapeId="0">
      <text>
        <t>Loan: Wintrust, AMORTIZING. Source: Meiborg_Debt_Schedule_202512.xlsx</t>
      </text>
    </comment>
    <comment ref="E194" authorId="0" shapeId="0">
      <text>
        <t>Loan: Wintrust, AMORTIZING. Interest = Beg Bal * 3.61% / 12</t>
      </text>
    </comment>
    <comment ref="F194" authorId="0" shapeId="0">
      <text>
        <t>Loan: Wintrust, AMORTIZING. Principal = Payment - Interest</t>
      </text>
    </comment>
    <comment ref="G194" authorId="0" shapeId="0">
      <text>
        <t>Loan: Wintrust, AMORTIZING. Closing = Opening - Principal</t>
      </text>
    </comment>
    <comment ref="C195" authorId="0" shapeId="0">
      <text>
        <t>Loan: Wintrust, AMORTIZING. Source: Meiborg_Debt_Schedule_202512.xlsx</t>
      </text>
    </comment>
    <comment ref="E195" authorId="0" shapeId="0">
      <text>
        <t>Loan: Wintrust, AMORTIZING. Interest = Beg Bal * 3.61% / 12</t>
      </text>
    </comment>
    <comment ref="F195" authorId="0" shapeId="0">
      <text>
        <t>Loan: Wintrust, AMORTIZING. Principal = Payment - Interest</t>
      </text>
    </comment>
    <comment ref="G195" authorId="0" shapeId="0">
      <text>
        <t>Loan: Wintrust, AMORTIZING. Closing = Opening - Principal</t>
      </text>
    </comment>
    <comment ref="C196" authorId="0" shapeId="0">
      <text>
        <t>Loan: Wintrust, AMORTIZING. Source: Meiborg_Debt_Schedule_202512.xlsx</t>
      </text>
    </comment>
    <comment ref="E196" authorId="0" shapeId="0">
      <text>
        <t>Loan: Wintrust, AMORTIZING. Interest = Beg Bal * 3.61% / 12</t>
      </text>
    </comment>
    <comment ref="F196" authorId="0" shapeId="0">
      <text>
        <t>Loan: Wintrust, AMORTIZING. Principal = Payment - Interest</t>
      </text>
    </comment>
    <comment ref="G196" authorId="0" shapeId="0">
      <text>
        <t>Loan: Wintrust, AMORTIZING. Closing = Opening - Principal</t>
      </text>
    </comment>
    <comment ref="C197" authorId="0" shapeId="0">
      <text>
        <t>Loan: Wintrust, AMORTIZING. Source: Meiborg_Debt_Schedule_202512.xlsx</t>
      </text>
    </comment>
    <comment ref="E197" authorId="0" shapeId="0">
      <text>
        <t>Loan: Wintrust, AMORTIZING. Interest = Beg Bal * 3.61% / 12</t>
      </text>
    </comment>
    <comment ref="F197" authorId="0" shapeId="0">
      <text>
        <t>Loan: Wintrust, AMORTIZING. Principal = Payment - Interest</t>
      </text>
    </comment>
    <comment ref="G197" authorId="0" shapeId="0">
      <text>
        <t>Loan: Wintrust, AMORTIZING. Closing = Opening - Principal</t>
      </text>
    </comment>
    <comment ref="C198" authorId="0" shapeId="0">
      <text>
        <t>Loan: Wintrust, AMORTIZING. Source: Meiborg_Debt_Schedule_202512.xlsx</t>
      </text>
    </comment>
    <comment ref="E198" authorId="0" shapeId="0">
      <text>
        <t>Loan: Wintrust, AMORTIZING. Interest = Beg Bal * 3.61% / 12</t>
      </text>
    </comment>
    <comment ref="F198" authorId="0" shapeId="0">
      <text>
        <t>Loan: Wintrust, AMORTIZING. Principal = Payment - Interest</t>
      </text>
    </comment>
    <comment ref="G198" authorId="0" shapeId="0">
      <text>
        <t>Loan: Wintrust, AMORTIZING. Closing = Opening - Principal</t>
      </text>
    </comment>
    <comment ref="C199" authorId="0" shapeId="0">
      <text>
        <t>Loan: Wintrust, AMORTIZING. Source: Meiborg_Debt_Schedule_202512.xlsx</t>
      </text>
    </comment>
    <comment ref="E199" authorId="0" shapeId="0">
      <text>
        <t>Loan: Wintrust, AMORTIZING. Interest = Beg Bal * 3.61% / 12</t>
      </text>
    </comment>
    <comment ref="F199" authorId="0" shapeId="0">
      <text>
        <t>Loan: Wintrust, AMORTIZING. Principal = Payment - Interest</t>
      </text>
    </comment>
    <comment ref="G199" authorId="0" shapeId="0">
      <text>
        <t>Loan: Wintrust, AMORTIZING. Closing = Opening - Principal</t>
      </text>
    </comment>
    <comment ref="C200" authorId="0" shapeId="0">
      <text>
        <t>Loan: Wintrust, AMORTIZING. Source: Meiborg_Debt_Schedule_202512.xlsx</t>
      </text>
    </comment>
    <comment ref="E200" authorId="0" shapeId="0">
      <text>
        <t>Loan: Wintrust, AMORTIZING. Interest = Beg Bal * 3.61% / 12</t>
      </text>
    </comment>
    <comment ref="F200" authorId="0" shapeId="0">
      <text>
        <t>Loan: Wintrust, AMORTIZING. Principal = Payment - Interest</t>
      </text>
    </comment>
    <comment ref="G200" authorId="0" shapeId="0">
      <text>
        <t>Loan: Wintrust, AMORTIZING. Closing = Opening - Principal</t>
      </text>
    </comment>
    <comment ref="E201" authorId="0" shapeId="0">
      <text>
        <t>Sum of rows 189-200: Monthly interest for 2039</t>
      </text>
    </comment>
    <comment ref="F201" authorId="0" shapeId="0">
      <text>
        <t>Sum of rows 189-200: Monthly principal for 2039</t>
      </text>
    </comment>
    <comment ref="C202" authorId="0" shapeId="0">
      <text>
        <t>Loan: Wintrust, AMORTIZING. Source: Meiborg_Debt_Schedule_202512.xlsx</t>
      </text>
    </comment>
    <comment ref="E202" authorId="0" shapeId="0">
      <text>
        <t>Loan: Wintrust, AMORTIZING. Interest = Beg Bal * 3.61% / 12</t>
      </text>
    </comment>
    <comment ref="F202" authorId="0" shapeId="0">
      <text>
        <t>Loan: Wintrust, AMORTIZING. Principal = Payment - Interest</t>
      </text>
    </comment>
    <comment ref="G202" authorId="0" shapeId="0">
      <text>
        <t>Loan: Wintrust, AMORTIZING. Closing = Opening - Principal</t>
      </text>
    </comment>
    <comment ref="C203" authorId="0" shapeId="0">
      <text>
        <t>Loan: Wintrust, AMORTIZING. Source: Meiborg_Debt_Schedule_202512.xlsx</t>
      </text>
    </comment>
    <comment ref="E203" authorId="0" shapeId="0">
      <text>
        <t>Loan: Wintrust, AMORTIZING. Interest = Beg Bal * 3.61% / 12</t>
      </text>
    </comment>
    <comment ref="F203" authorId="0" shapeId="0">
      <text>
        <t>Loan: Wintrust, AMORTIZING. Principal = Payment - Interest</t>
      </text>
    </comment>
    <comment ref="G203" authorId="0" shapeId="0">
      <text>
        <t>Loan: Wintrust, AMORTIZING. Closing = Opening - Principal</t>
      </text>
    </comment>
    <comment ref="C204" authorId="0" shapeId="0">
      <text>
        <t>Loan: Wintrust, AMORTIZING. Source: Meiborg_Debt_Schedule_202512.xlsx</t>
      </text>
    </comment>
    <comment ref="E204" authorId="0" shapeId="0">
      <text>
        <t>Loan: Wintrust, AMORTIZING. Interest = Beg Bal * 3.61% / 12</t>
      </text>
    </comment>
    <comment ref="F204" authorId="0" shapeId="0">
      <text>
        <t>Loan: Wintrust, AMORTIZING. Principal = Payment - Interest</t>
      </text>
    </comment>
    <comment ref="G204" authorId="0" shapeId="0">
      <text>
        <t>Loan: Wintrust, AMORTIZING. Closing = Opening - Principal</t>
      </text>
    </comment>
    <comment ref="C205" authorId="0" shapeId="0">
      <text>
        <t>Loan: Wintrust, AMORTIZING. Source: Meiborg_Debt_Schedule_202512.xlsx</t>
      </text>
    </comment>
    <comment ref="E205" authorId="0" shapeId="0">
      <text>
        <t>Loan: Wintrust, AMORTIZING. Interest = Beg Bal * 3.61% / 12</t>
      </text>
    </comment>
    <comment ref="F205" authorId="0" shapeId="0">
      <text>
        <t>Loan: Wintrust, AMORTIZING. Principal = Payment - Interest</t>
      </text>
    </comment>
    <comment ref="G205" authorId="0" shapeId="0">
      <text>
        <t>Loan: Wintrust, AMORTIZING. Closing = Opening - Principal</t>
      </text>
    </comment>
    <comment ref="C206" authorId="0" shapeId="0">
      <text>
        <t>Loan: Wintrust, AMORTIZING. Source: Meiborg_Debt_Schedule_202512.xlsx</t>
      </text>
    </comment>
    <comment ref="E206" authorId="0" shapeId="0">
      <text>
        <t>Loan: Wintrust, AMORTIZING. Interest = Beg Bal * 3.61% / 12</t>
      </text>
    </comment>
    <comment ref="F206" authorId="0" shapeId="0">
      <text>
        <t>Loan: Wintrust, AMORTIZING. Principal = Payment - Interest</t>
      </text>
    </comment>
    <comment ref="G206" authorId="0" shapeId="0">
      <text>
        <t>Loan: Wintrust, AMORTIZING. Closing = Opening - Principal</t>
      </text>
    </comment>
    <comment ref="C207" authorId="0" shapeId="0">
      <text>
        <t>Loan: Wintrust, AMORTIZING. Source: Meiborg_Debt_Schedule_202512.xlsx</t>
      </text>
    </comment>
    <comment ref="E207" authorId="0" shapeId="0">
      <text>
        <t>Loan: Wintrust, AMORTIZING. Interest = Beg Bal * 3.61% / 12</t>
      </text>
    </comment>
    <comment ref="F207" authorId="0" shapeId="0">
      <text>
        <t>Loan: Wintrust, AMORTIZING. Principal = Payment - Interest</t>
      </text>
    </comment>
    <comment ref="G207" authorId="0" shapeId="0">
      <text>
        <t>Loan: Wintrust, AMORTIZING. Closing = Opening - Principal</t>
      </text>
    </comment>
    <comment ref="C208" authorId="0" shapeId="0">
      <text>
        <t>Loan: Wintrust, AMORTIZING. Source: Meiborg_Debt_Schedule_202512.xlsx</t>
      </text>
    </comment>
    <comment ref="E208" authorId="0" shapeId="0">
      <text>
        <t>Loan: Wintrust, AMORTIZING. Interest = Beg Bal * 3.61% / 12</t>
      </text>
    </comment>
    <comment ref="F208" authorId="0" shapeId="0">
      <text>
        <t>Loan: Wintrust, AMORTIZING. Principal = Payment - Interest</t>
      </text>
    </comment>
    <comment ref="G208" authorId="0" shapeId="0">
      <text>
        <t>Loan: Wintrust, AMORTIZING. Closing = Opening - Principal</t>
      </text>
    </comment>
    <comment ref="C209" authorId="0" shapeId="0">
      <text>
        <t>Loan: Wintrust, AMORTIZING. Source: Meiborg_Debt_Schedule_202512.xlsx</t>
      </text>
    </comment>
    <comment ref="E209" authorId="0" shapeId="0">
      <text>
        <t>Loan: Wintrust, AMORTIZING. Interest = Beg Bal * 3.61% / 12</t>
      </text>
    </comment>
    <comment ref="F209" authorId="0" shapeId="0">
      <text>
        <t>Loan: Wintrust, AMORTIZING. Principal = Payment - Interest</t>
      </text>
    </comment>
    <comment ref="G209" authorId="0" shapeId="0">
      <text>
        <t>Loan: Wintrust, AMORTIZING. Closing = Opening - Principal</t>
      </text>
    </comment>
    <comment ref="C210" authorId="0" shapeId="0">
      <text>
        <t>Loan: Wintrust, AMORTIZING. Source: Meiborg_Debt_Schedule_202512.xlsx</t>
      </text>
    </comment>
    <comment ref="E210" authorId="0" shapeId="0">
      <text>
        <t>Loan: Wintrust, AMORTIZING. Interest = Beg Bal * 3.61% / 12</t>
      </text>
    </comment>
    <comment ref="F210" authorId="0" shapeId="0">
      <text>
        <t>Loan: Wintrust, AMORTIZING. Principal = Payment - Interest</t>
      </text>
    </comment>
    <comment ref="G210" authorId="0" shapeId="0">
      <text>
        <t>Loan: Wintrust, AMORTIZING. Closing = Opening - Principal</t>
      </text>
    </comment>
    <comment ref="C211" authorId="0" shapeId="0">
      <text>
        <t>Loan: Wintrust, AMORTIZING. Source: Meiborg_Debt_Schedule_202512.xlsx</t>
      </text>
    </comment>
    <comment ref="E211" authorId="0" shapeId="0">
      <text>
        <t>Loan: Wintrust, AMORTIZING. Interest = Beg Bal * 3.61% / 12</t>
      </text>
    </comment>
    <comment ref="F211" authorId="0" shapeId="0">
      <text>
        <t>Loan: Wintrust, AMORTIZING. Principal = Payment - Interest</t>
      </text>
    </comment>
    <comment ref="G211" authorId="0" shapeId="0">
      <text>
        <t>Loan: Wintrust, AMORTIZING. Closing = Opening - Principal</t>
      </text>
    </comment>
    <comment ref="C212" authorId="0" shapeId="0">
      <text>
        <t>Loan: Wintrust, AMORTIZING. Source: Meiborg_Debt_Schedule_202512.xlsx</t>
      </text>
    </comment>
    <comment ref="E212" authorId="0" shapeId="0">
      <text>
        <t>Loan: Wintrust, AMORTIZING. Interest = Beg Bal * 3.61% / 12</t>
      </text>
    </comment>
    <comment ref="F212" authorId="0" shapeId="0">
      <text>
        <t>Loan: Wintrust, AMORTIZING. Principal = Payment - Interest</t>
      </text>
    </comment>
    <comment ref="G212" authorId="0" shapeId="0">
      <text>
        <t>Loan: Wintrust, AMORTIZING. Closing = Opening - Principal</t>
      </text>
    </comment>
    <comment ref="C213" authorId="0" shapeId="0">
      <text>
        <t>Loan: Wintrust, AMORTIZING. Source: Meiborg_Debt_Schedule_202512.xlsx</t>
      </text>
    </comment>
    <comment ref="E213" authorId="0" shapeId="0">
      <text>
        <t>Loan: Wintrust, AMORTIZING. Interest = Beg Bal * 3.61% / 12</t>
      </text>
    </comment>
    <comment ref="F213" authorId="0" shapeId="0">
      <text>
        <t>Loan: Wintrust, AMORTIZING. Principal = Payment - Interest</t>
      </text>
    </comment>
    <comment ref="G213" authorId="0" shapeId="0">
      <text>
        <t>Loan: Wintrust, AMORTIZING. Closing = Opening - Principal</t>
      </text>
    </comment>
    <comment ref="E214" authorId="0" shapeId="0">
      <text>
        <t>Sum of rows 202-213: Monthly interest for 2040</t>
      </text>
    </comment>
    <comment ref="F214" authorId="0" shapeId="0">
      <text>
        <t>Sum of rows 202-213: Monthly principal for 2040</t>
      </text>
    </comment>
    <comment ref="C215" authorId="0" shapeId="0">
      <text>
        <t>Loan: Wintrust, AMORTIZING. Source: Meiborg_Debt_Schedule_202512.xlsx</t>
      </text>
    </comment>
    <comment ref="E215" authorId="0" shapeId="0">
      <text>
        <t>Loan: Wintrust, AMORTIZING. Interest = Beg Bal * 3.61% / 12</t>
      </text>
    </comment>
    <comment ref="F215" authorId="0" shapeId="0">
      <text>
        <t>Loan: Wintrust, AMORTIZING. Principal = Payment - Interest</t>
      </text>
    </comment>
    <comment ref="G215" authorId="0" shapeId="0">
      <text>
        <t>Loan: Wintrust, AMORTIZING. Closing = Opening - Principal</t>
      </text>
    </comment>
    <comment ref="C216" authorId="0" shapeId="0">
      <text>
        <t>Loan: Wintrust, AMORTIZING. Source: Meiborg_Debt_Schedule_202512.xlsx</t>
      </text>
    </comment>
    <comment ref="E216" authorId="0" shapeId="0">
      <text>
        <t>Loan: Wintrust, AMORTIZING. Interest = Beg Bal * 3.61% / 12</t>
      </text>
    </comment>
    <comment ref="F216" authorId="0" shapeId="0">
      <text>
        <t>Loan: Wintrust, AMORTIZING. Principal = Payment - Interest</t>
      </text>
    </comment>
    <comment ref="G216" authorId="0" shapeId="0">
      <text>
        <t>Loan: Wintrust, AMORTIZING. Closing = Opening - Principal</t>
      </text>
    </comment>
    <comment ref="C217" authorId="0" shapeId="0">
      <text>
        <t>Loan: Wintrust, AMORTIZING. Source: Meiborg_Debt_Schedule_202512.xlsx</t>
      </text>
    </comment>
    <comment ref="E217" authorId="0" shapeId="0">
      <text>
        <t>Loan: Wintrust, AMORTIZING. Interest = Beg Bal * 3.61% / 12</t>
      </text>
    </comment>
    <comment ref="F217" authorId="0" shapeId="0">
      <text>
        <t>Loan: Wintrust, AMORTIZING. Principal = Payment - Interest</t>
      </text>
    </comment>
    <comment ref="G217" authorId="0" shapeId="0">
      <text>
        <t>Loan: Wintrust, AMORTIZING. Closing = Opening - Principal</t>
      </text>
    </comment>
    <comment ref="C218" authorId="0" shapeId="0">
      <text>
        <t>Loan: Wintrust, AMORTIZING. Source: Meiborg_Debt_Schedule_202512.xlsx</t>
      </text>
    </comment>
    <comment ref="E218" authorId="0" shapeId="0">
      <text>
        <t>Loan: Wintrust, AMORTIZING. Interest = Beg Bal * 3.61% / 12</t>
      </text>
    </comment>
    <comment ref="F218" authorId="0" shapeId="0">
      <text>
        <t>Loan: Wintrust, AMORTIZING. Principal = Payment - Interest</t>
      </text>
    </comment>
    <comment ref="G218" authorId="0" shapeId="0">
      <text>
        <t>Loan: Wintrust, AMORTIZING. Closing = Opening - Principal</t>
      </text>
    </comment>
    <comment ref="C219" authorId="0" shapeId="0">
      <text>
        <t>Loan: Wintrust, AMORTIZING. Source: Meiborg_Debt_Schedule_202512.xlsx</t>
      </text>
    </comment>
    <comment ref="E219" authorId="0" shapeId="0">
      <text>
        <t>Loan: Wintrust, AMORTIZING. Interest = Beg Bal * 3.61% / 12</t>
      </text>
    </comment>
    <comment ref="F219" authorId="0" shapeId="0">
      <text>
        <t>Loan: Wintrust, AMORTIZING. Principal = Payment - Interest</t>
      </text>
    </comment>
    <comment ref="G219" authorId="0" shapeId="0">
      <text>
        <t>Loan: Wintrust, AMORTIZING. Closing = Opening - Principal</t>
      </text>
    </comment>
    <comment ref="C220" authorId="0" shapeId="0">
      <text>
        <t>Loan: Wintrust, AMORTIZING. Source: Meiborg_Debt_Schedule_202512.xlsx</t>
      </text>
    </comment>
    <comment ref="E220" authorId="0" shapeId="0">
      <text>
        <t>Loan: Wintrust, AMORTIZING. Interest = Beg Bal * 3.61% / 12</t>
      </text>
    </comment>
    <comment ref="F220" authorId="0" shapeId="0">
      <text>
        <t>Loan: Wintrust, AMORTIZING. Principal = Payment - Interest</t>
      </text>
    </comment>
    <comment ref="G220" authorId="0" shapeId="0">
      <text>
        <t>Loan: Wintrust, AMORTIZING. Closing = Opening - Principal</t>
      </text>
    </comment>
    <comment ref="C221" authorId="0" shapeId="0">
      <text>
        <t>Loan: Wintrust, AMORTIZING. Source: Meiborg_Debt_Schedule_202512.xlsx</t>
      </text>
    </comment>
    <comment ref="E221" authorId="0" shapeId="0">
      <text>
        <t>Loan: Wintrust, AMORTIZING. Interest = Beg Bal * 3.61% / 12</t>
      </text>
    </comment>
    <comment ref="F221" authorId="0" shapeId="0">
      <text>
        <t>Loan: Wintrust, AMORTIZING. Principal = Payment - Interest</t>
      </text>
    </comment>
    <comment ref="G221" authorId="0" shapeId="0">
      <text>
        <t>Loan: Wintrust, AMORTIZING. Closing = Opening - Principal</t>
      </text>
    </comment>
    <comment ref="C222" authorId="0" shapeId="0">
      <text>
        <t>Loan: Wintrust, AMORTIZING. Source: Meiborg_Debt_Schedule_202512.xlsx</t>
      </text>
    </comment>
    <comment ref="E222" authorId="0" shapeId="0">
      <text>
        <t>Loan: Wintrust, AMORTIZING. Interest = Beg Bal * 3.61% / 12</t>
      </text>
    </comment>
    <comment ref="F222" authorId="0" shapeId="0">
      <text>
        <t>Loan: Wintrust, AMORTIZING. Principal = Payment - Interest</t>
      </text>
    </comment>
    <comment ref="G222" authorId="0" shapeId="0">
      <text>
        <t>Loan: Wintrust, AMORTIZING. Closing = Opening - Principal</t>
      </text>
    </comment>
    <comment ref="C223" authorId="0" shapeId="0">
      <text>
        <t>Loan: Wintrust, AMORTIZING. Source: Meiborg_Debt_Schedule_202512.xlsx</t>
      </text>
    </comment>
    <comment ref="E223" authorId="0" shapeId="0">
      <text>
        <t>Loan: Wintrust, AMORTIZING. Interest = Beg Bal * 3.61% / 12</t>
      </text>
    </comment>
    <comment ref="F223" authorId="0" shapeId="0">
      <text>
        <t>Loan: Wintrust, AMORTIZING. Principal = Payment - Interest</t>
      </text>
    </comment>
    <comment ref="G223" authorId="0" shapeId="0">
      <text>
        <t>Loan: Wintrust, AMORTIZING. Closing = Opening - Principal</t>
      </text>
    </comment>
    <comment ref="C224" authorId="0" shapeId="0">
      <text>
        <t>Loan: Wintrust, AMORTIZING. Source: Meiborg_Debt_Schedule_202512.xlsx</t>
      </text>
    </comment>
    <comment ref="E224" authorId="0" shapeId="0">
      <text>
        <t>Loan: Wintrust, AMORTIZING. Interest = Beg Bal * 3.61% / 12</t>
      </text>
    </comment>
    <comment ref="F224" authorId="0" shapeId="0">
      <text>
        <t>Loan: Wintrust, AMORTIZING. Principal = Payment - Interest</t>
      </text>
    </comment>
    <comment ref="G224" authorId="0" shapeId="0">
      <text>
        <t>Loan: Wintrust, AMORTIZING. Closing = Opening - Principal</t>
      </text>
    </comment>
    <comment ref="C225" authorId="0" shapeId="0">
      <text>
        <t>Loan: Wintrust, AMORTIZING. Source: Meiborg_Debt_Schedule_202512.xlsx</t>
      </text>
    </comment>
    <comment ref="E225" authorId="0" shapeId="0">
      <text>
        <t>Loan: Wintrust, AMORTIZING. Interest = Beg Bal * 3.61% / 12</t>
      </text>
    </comment>
    <comment ref="F225" authorId="0" shapeId="0">
      <text>
        <t>Loan: Wintrust, AMORTIZING. Principal = Payment - Interest</t>
      </text>
    </comment>
    <comment ref="G225" authorId="0" shapeId="0">
      <text>
        <t>Loan: Wintrust, AMORTIZING. Closing = Opening - Principal</t>
      </text>
    </comment>
    <comment ref="C226" authorId="0" shapeId="0">
      <text>
        <t>Loan: Wintrust, AMORTIZING. Source: Meiborg_Debt_Schedule_202512.xlsx</t>
      </text>
    </comment>
    <comment ref="E226" authorId="0" shapeId="0">
      <text>
        <t>Loan: Wintrust, AMORTIZING. Interest = Beg Bal * 3.61% / 12</t>
      </text>
    </comment>
    <comment ref="F226" authorId="0" shapeId="0">
      <text>
        <t>Loan: Wintrust, AMORTIZING. Principal = Payment - Interest</t>
      </text>
    </comment>
    <comment ref="G226" authorId="0" shapeId="0">
      <text>
        <t>Loan: Wintrust, AMORTIZING. Closing = Opening - Principal</t>
      </text>
    </comment>
    <comment ref="E227" authorId="0" shapeId="0">
      <text>
        <t>Sum of rows 215-226: Monthly interest for 2041</t>
      </text>
    </comment>
    <comment ref="F227" authorId="0" shapeId="0">
      <text>
        <t>Sum of rows 215-226: Monthly principal for 2041</t>
      </text>
    </comment>
    <comment ref="C228" authorId="0" shapeId="0">
      <text>
        <t>Loan: Wintrust, AMORTIZING. Source: Meiborg_Debt_Schedule_202512.xlsx</t>
      </text>
    </comment>
    <comment ref="E228" authorId="0" shapeId="0">
      <text>
        <t>Loan: Wintrust, AMORTIZING. Interest = Beg Bal * 3.61% / 12</t>
      </text>
    </comment>
    <comment ref="F228" authorId="0" shapeId="0">
      <text>
        <t>Loan: Wintrust, AMORTIZING. Principal = Payment - Interest</t>
      </text>
    </comment>
    <comment ref="G228" authorId="0" shapeId="0">
      <text>
        <t>Loan: Wintrust, AMORTIZING. Closing = Opening - Principal</t>
      </text>
    </comment>
    <comment ref="C229" authorId="0" shapeId="0">
      <text>
        <t>Loan: Wintrust, AMORTIZING. Source: Meiborg_Debt_Schedule_202512.xlsx</t>
      </text>
    </comment>
    <comment ref="E229" authorId="0" shapeId="0">
      <text>
        <t>Loan: Wintrust, AMORTIZING. Interest = Beg Bal * 3.61% / 12</t>
      </text>
    </comment>
    <comment ref="F229" authorId="0" shapeId="0">
      <text>
        <t>Loan: Wintrust, AMORTIZING. Principal = Payment - Interest</t>
      </text>
    </comment>
    <comment ref="G229" authorId="0" shapeId="0">
      <text>
        <t>Loan: Wintrust, AMORTIZING. Closing = Opening - Principal</t>
      </text>
    </comment>
    <comment ref="C230" authorId="0" shapeId="0">
      <text>
        <t>Loan: Wintrust, AMORTIZING. Source: Meiborg_Debt_Schedule_202512.xlsx</t>
      </text>
    </comment>
    <comment ref="E230" authorId="0" shapeId="0">
      <text>
        <t>Loan: Wintrust, AMORTIZING. Interest = Beg Bal * 3.61% / 12</t>
      </text>
    </comment>
    <comment ref="F230" authorId="0" shapeId="0">
      <text>
        <t>Loan: Wintrust, AMORTIZING. Principal = Payment - Interest</t>
      </text>
    </comment>
    <comment ref="G230" authorId="0" shapeId="0">
      <text>
        <t>Loan: Wintrust, AMORTIZING. Closing = Opening - Principal</t>
      </text>
    </comment>
    <comment ref="C231" authorId="0" shapeId="0">
      <text>
        <t>Loan: Wintrust, AMORTIZING. Source: Meiborg_Debt_Schedule_202512.xlsx</t>
      </text>
    </comment>
    <comment ref="E231" authorId="0" shapeId="0">
      <text>
        <t>Loan: Wintrust, AMORTIZING. Interest = Beg Bal * 3.61% / 12</t>
      </text>
    </comment>
    <comment ref="F231" authorId="0" shapeId="0">
      <text>
        <t>Loan: Wintrust, AMORTIZING. Principal = Payment - Interest</t>
      </text>
    </comment>
    <comment ref="G231" authorId="0" shapeId="0">
      <text>
        <t>Loan: Wintrust, AMORTIZING. Closing = Opening - Principal</t>
      </text>
    </comment>
    <comment ref="C232" authorId="0" shapeId="0">
      <text>
        <t>Loan: Wintrust, AMORTIZING. Source: Meiborg_Debt_Schedule_202512.xlsx</t>
      </text>
    </comment>
    <comment ref="E232" authorId="0" shapeId="0">
      <text>
        <t>Loan: Wintrust, AMORTIZING. Interest = Beg Bal * 3.61% / 12</t>
      </text>
    </comment>
    <comment ref="F232" authorId="0" shapeId="0">
      <text>
        <t>Loan: Wintrust, AMORTIZING. Principal = Payment - Interest</t>
      </text>
    </comment>
    <comment ref="G232" authorId="0" shapeId="0">
      <text>
        <t>Loan: Wintrust, AMORTIZING. Closing = Opening - Principal</t>
      </text>
    </comment>
    <comment ref="C233" authorId="0" shapeId="0">
      <text>
        <t>Loan: Wintrust, AMORTIZING. Source: Meiborg_Debt_Schedule_202512.xlsx</t>
      </text>
    </comment>
    <comment ref="E233" authorId="0" shapeId="0">
      <text>
        <t>Loan: Wintrust, AMORTIZING. Interest = Beg Bal * 3.61% / 12</t>
      </text>
    </comment>
    <comment ref="F233" authorId="0" shapeId="0">
      <text>
        <t>Loan: Wintrust, AMORTIZING. Principal = Payment - Interest</t>
      </text>
    </comment>
    <comment ref="G233" authorId="0" shapeId="0">
      <text>
        <t>Loan: Wintrust, AMORTIZING. Closing = Opening - Principal</t>
      </text>
    </comment>
    <comment ref="C234" authorId="0" shapeId="0">
      <text>
        <t>Loan: Wintrust, AMORTIZING. Source: Meiborg_Debt_Schedule_202512.xlsx</t>
      </text>
    </comment>
    <comment ref="E234" authorId="0" shapeId="0">
      <text>
        <t>Loan: Wintrust, AMORTIZING. Interest = Beg Bal * 3.61% / 12</t>
      </text>
    </comment>
    <comment ref="F234" authorId="0" shapeId="0">
      <text>
        <t>Loan: Wintrust, AMORTIZING. Principal = Payment - Interest</t>
      </text>
    </comment>
    <comment ref="G234" authorId="0" shapeId="0">
      <text>
        <t>Loan: Wintrust, AMORTIZING. Closing = Opening - Principal</t>
      </text>
    </comment>
    <comment ref="C235" authorId="0" shapeId="0">
      <text>
        <t>Loan: Wintrust, AMORTIZING. Source: Meiborg_Debt_Schedule_202512.xlsx</t>
      </text>
    </comment>
    <comment ref="E235" authorId="0" shapeId="0">
      <text>
        <t>Loan: Wintrust, AMORTIZING. Interest = Beg Bal * 3.61% / 12</t>
      </text>
    </comment>
    <comment ref="F235" authorId="0" shapeId="0">
      <text>
        <t>Loan: Wintrust, AMORTIZING. Principal = Payment - Interest</t>
      </text>
    </comment>
    <comment ref="G235" authorId="0" shapeId="0">
      <text>
        <t>Loan: Wintrust, AMORTIZING. Closing = Opening - Principal</t>
      </text>
    </comment>
    <comment ref="C236" authorId="0" shapeId="0">
      <text>
        <t>Loan: Wintrust, AMORTIZING. Source: Meiborg_Debt_Schedule_202512.xlsx</t>
      </text>
    </comment>
    <comment ref="E236" authorId="0" shapeId="0">
      <text>
        <t>Loan: Wintrust, AMORTIZING. Interest = Beg Bal * 3.61% / 12</t>
      </text>
    </comment>
    <comment ref="F236" authorId="0" shapeId="0">
      <text>
        <t>Loan: Wintrust, AMORTIZING. Principal = Payment - Interest</t>
      </text>
    </comment>
    <comment ref="G236" authorId="0" shapeId="0">
      <text>
        <t>Loan: Wintrust, AMORTIZING. Closing = Opening - Principal</t>
      </text>
    </comment>
    <comment ref="C237" authorId="0" shapeId="0">
      <text>
        <t>Loan: Wintrust, AMORTIZING. Source: Meiborg_Debt_Schedule_202512.xlsx</t>
      </text>
    </comment>
    <comment ref="E237" authorId="0" shapeId="0">
      <text>
        <t>Loan: Wintrust, AMORTIZING. Interest = Beg Bal * 3.61% / 12</t>
      </text>
    </comment>
    <comment ref="F237" authorId="0" shapeId="0">
      <text>
        <t>Loan: Wintrust, AMORTIZING. Principal = Payment - Interest</t>
      </text>
    </comment>
    <comment ref="G237" authorId="0" shapeId="0">
      <text>
        <t>Loan: Wintrust, AMORTIZING. Closing = Opening - Principal</t>
      </text>
    </comment>
    <comment ref="C238" authorId="0" shapeId="0">
      <text>
        <t>Loan: Wintrust, AMORTIZING. Source: Meiborg_Debt_Schedule_202512.xlsx</t>
      </text>
    </comment>
    <comment ref="E238" authorId="0" shapeId="0">
      <text>
        <t>Loan: Wintrust, AMORTIZING. Interest = Beg Bal * 3.61% / 12</t>
      </text>
    </comment>
    <comment ref="F238" authorId="0" shapeId="0">
      <text>
        <t>Loan: Wintrust, AMORTIZING. Principal = Payment - Interest</t>
      </text>
    </comment>
    <comment ref="G238" authorId="0" shapeId="0">
      <text>
        <t>Loan: Wintrust, AMORTIZING. Closing = Opening - Principal</t>
      </text>
    </comment>
    <comment ref="C239" authorId="0" shapeId="0">
      <text>
        <t>Loan: Wintrust, AMORTIZING. Source: Meiborg_Debt_Schedule_202512.xlsx</t>
      </text>
    </comment>
    <comment ref="E239" authorId="0" shapeId="0">
      <text>
        <t>Loan: Wintrust, AMORTIZING. Interest = Beg Bal * 3.61% / 12</t>
      </text>
    </comment>
    <comment ref="F239" authorId="0" shapeId="0">
      <text>
        <t>Loan: Wintrust, AMORTIZING. Principal = Payment - Interest</t>
      </text>
    </comment>
    <comment ref="G239" authorId="0" shapeId="0">
      <text>
        <t>Loan: Wintrust, AMORTIZING. Closing = Opening - Principal</t>
      </text>
    </comment>
    <comment ref="E240" authorId="0" shapeId="0">
      <text>
        <t>Sum of rows 228-239: Monthly interest for 2042</t>
      </text>
    </comment>
    <comment ref="F240" authorId="0" shapeId="0">
      <text>
        <t>Sum of rows 228-239: Monthly principal for 2042</t>
      </text>
    </comment>
    <comment ref="C241" authorId="0" shapeId="0">
      <text>
        <t>Loan: Wintrust, AMORTIZING. Source: Meiborg_Debt_Schedule_202512.xlsx</t>
      </text>
    </comment>
    <comment ref="E241" authorId="0" shapeId="0">
      <text>
        <t>Loan: Wintrust, AMORTIZING. Interest = Beg Bal * 3.61% / 12</t>
      </text>
    </comment>
    <comment ref="F241" authorId="0" shapeId="0">
      <text>
        <t>Loan: Wintrust, AMORTIZING. Principal = Payment - Interest</t>
      </text>
    </comment>
    <comment ref="G241" authorId="0" shapeId="0">
      <text>
        <t>Loan: Wintrust, AMORTIZING. Closing = Opening - Principal</t>
      </text>
    </comment>
    <comment ref="C242" authorId="0" shapeId="0">
      <text>
        <t>Loan: Wintrust, AMORTIZING. Source: Meiborg_Debt_Schedule_202512.xlsx</t>
      </text>
    </comment>
    <comment ref="E242" authorId="0" shapeId="0">
      <text>
        <t>Loan: Wintrust, AMORTIZING. Interest = Beg Bal * 3.61% / 12</t>
      </text>
    </comment>
    <comment ref="F242" authorId="0" shapeId="0">
      <text>
        <t>Loan: Wintrust, AMORTIZING. Principal = Payment - Interest</t>
      </text>
    </comment>
    <comment ref="G242" authorId="0" shapeId="0">
      <text>
        <t>Loan: Wintrust, AMORTIZING. Closing = Opening - Principal</t>
      </text>
    </comment>
    <comment ref="C243" authorId="0" shapeId="0">
      <text>
        <t>Loan: Wintrust, AMORTIZING. Source: Meiborg_Debt_Schedule_202512.xlsx</t>
      </text>
    </comment>
    <comment ref="E243" authorId="0" shapeId="0">
      <text>
        <t>Loan: Wintrust, AMORTIZING. Interest = Beg Bal * 3.61% / 12</t>
      </text>
    </comment>
    <comment ref="F243" authorId="0" shapeId="0">
      <text>
        <t>Loan: Wintrust, AMORTIZING. Principal = Payment - Interest</t>
      </text>
    </comment>
    <comment ref="G243" authorId="0" shapeId="0">
      <text>
        <t>Loan: Wintrust, AMORTIZING. Closing = Opening - Principal</t>
      </text>
    </comment>
    <comment ref="C244" authorId="0" shapeId="0">
      <text>
        <t>Loan: Wintrust, AMORTIZING. Source: Meiborg_Debt_Schedule_202512.xlsx</t>
      </text>
    </comment>
    <comment ref="E244" authorId="0" shapeId="0">
      <text>
        <t>Loan: Wintrust, AMORTIZING. Interest = Beg Bal * 3.61% / 12</t>
      </text>
    </comment>
    <comment ref="F244" authorId="0" shapeId="0">
      <text>
        <t>Loan: Wintrust, AMORTIZING. Principal = Payment - Interest</t>
      </text>
    </comment>
    <comment ref="G244" authorId="0" shapeId="0">
      <text>
        <t>Loan: Wintrust, AMORTIZING. Closing = Opening - Principal</t>
      </text>
    </comment>
    <comment ref="C245" authorId="0" shapeId="0">
      <text>
        <t>Loan: Wintrust, AMORTIZING. Source: Meiborg_Debt_Schedule_202512.xlsx</t>
      </text>
    </comment>
    <comment ref="E245" authorId="0" shapeId="0">
      <text>
        <t>Loan: Wintrust, AMORTIZING. Interest = Beg Bal * 3.61% / 12</t>
      </text>
    </comment>
    <comment ref="F245" authorId="0" shapeId="0">
      <text>
        <t>Loan: Wintrust, AMORTIZING. Principal = Payment - Interest</t>
      </text>
    </comment>
    <comment ref="G245" authorId="0" shapeId="0">
      <text>
        <t>Loan: Wintrust, AMORTIZING. Closing = Opening - Principal</t>
      </text>
    </comment>
    <comment ref="C246" authorId="0" shapeId="0">
      <text>
        <t>Loan: Wintrust, AMORTIZING. Source: Meiborg_Debt_Schedule_202512.xlsx</t>
      </text>
    </comment>
    <comment ref="E246" authorId="0" shapeId="0">
      <text>
        <t>Loan: Wintrust, AMORTIZING. Interest = Beg Bal * 3.61% / 12</t>
      </text>
    </comment>
    <comment ref="F246" authorId="0" shapeId="0">
      <text>
        <t>Loan: Wintrust, AMORTIZING. Principal = Payment - Interest</t>
      </text>
    </comment>
    <comment ref="G246" authorId="0" shapeId="0">
      <text>
        <t>Loan: Wintrust, AMORTIZING. Closing = Opening - Principal</t>
      </text>
    </comment>
    <comment ref="C247" authorId="0" shapeId="0">
      <text>
        <t>Loan: Wintrust, AMORTIZING. Source: Meiborg_Debt_Schedule_202512.xlsx</t>
      </text>
    </comment>
    <comment ref="E247" authorId="0" shapeId="0">
      <text>
        <t>Loan: Wintrust, AMORTIZING. Interest = Beg Bal * 3.61% / 12</t>
      </text>
    </comment>
    <comment ref="F247" authorId="0" shapeId="0">
      <text>
        <t>Loan: Wintrust, AMORTIZING. Principal = Payment - Interest</t>
      </text>
    </comment>
    <comment ref="G247" authorId="0" shapeId="0">
      <text>
        <t>Loan: Wintrust, AMORTIZING. Closing = Opening - Principal</t>
      </text>
    </comment>
    <comment ref="C248" authorId="0" shapeId="0">
      <text>
        <t>Loan: Wintrust, AMORTIZING. Source: Meiborg_Debt_Schedule_202512.xlsx</t>
      </text>
    </comment>
    <comment ref="E248" authorId="0" shapeId="0">
      <text>
        <t>Loan: Wintrust, AMORTIZING. Interest = Beg Bal * 3.61% / 12</t>
      </text>
    </comment>
    <comment ref="F248" authorId="0" shapeId="0">
      <text>
        <t>Loan: Wintrust, AMORTIZING. Principal = Payment - Interest</t>
      </text>
    </comment>
    <comment ref="G248" authorId="0" shapeId="0">
      <text>
        <t>Loan: Wintrust, AMORTIZING. Closing = Opening - Principal</t>
      </text>
    </comment>
    <comment ref="C249" authorId="0" shapeId="0">
      <text>
        <t>Loan: Wintrust, AMORTIZING. Source: Meiborg_Debt_Schedule_202512.xlsx</t>
      </text>
    </comment>
    <comment ref="E249" authorId="0" shapeId="0">
      <text>
        <t>Loan: Wintrust, AMORTIZING. Interest = Beg Bal * 3.61% / 12</t>
      </text>
    </comment>
    <comment ref="F249" authorId="0" shapeId="0">
      <text>
        <t>Loan: Wintrust, AMORTIZING. Principal = Payment - Interest</t>
      </text>
    </comment>
    <comment ref="G249" authorId="0" shapeId="0">
      <text>
        <t>Loan: Wintrust, AMORTIZING. Closing = Opening - Principal</t>
      </text>
    </comment>
    <comment ref="C250" authorId="0" shapeId="0">
      <text>
        <t>Loan: Wintrust, AMORTIZING. Source: Meiborg_Debt_Schedule_202512.xlsx</t>
      </text>
    </comment>
    <comment ref="E250" authorId="0" shapeId="0">
      <text>
        <t>Loan: Wintrust, AMORTIZING. Interest = Beg Bal * 3.61% / 12</t>
      </text>
    </comment>
    <comment ref="F250" authorId="0" shapeId="0">
      <text>
        <t>Loan: Wintrust, AMORTIZING. Principal = Payment - Interest</t>
      </text>
    </comment>
    <comment ref="G250" authorId="0" shapeId="0">
      <text>
        <t>Loan: Wintrust, AMORTIZING. Closing = Opening - Principal</t>
      </text>
    </comment>
    <comment ref="C251" authorId="0" shapeId="0">
      <text>
        <t>Loan: Wintrust, AMORTIZING. Source: Meiborg_Debt_Schedule_202512.xlsx</t>
      </text>
    </comment>
    <comment ref="E251" authorId="0" shapeId="0">
      <text>
        <t>Loan: Wintrust, AMORTIZING. Interest = Beg Bal * 3.61% / 12</t>
      </text>
    </comment>
    <comment ref="F251" authorId="0" shapeId="0">
      <text>
        <t>Loan: Wintrust, AMORTIZING. Principal = Payment - Interest</t>
      </text>
    </comment>
    <comment ref="G251" authorId="0" shapeId="0">
      <text>
        <t>Loan: Wintrust, AMORTIZING. Closing = Opening - Principal</t>
      </text>
    </comment>
    <comment ref="C252" authorId="0" shapeId="0">
      <text>
        <t>Loan: Wintrust, AMORTIZING. Source: Meiborg_Debt_Schedule_202512.xlsx</t>
      </text>
    </comment>
    <comment ref="E252" authorId="0" shapeId="0">
      <text>
        <t>Loan: Wintrust, AMORTIZING. Interest = Beg Bal * 3.61% / 12</t>
      </text>
    </comment>
    <comment ref="F252" authorId="0" shapeId="0">
      <text>
        <t>Loan: Wintrust, AMORTIZING. Principal = Payment - Interest</t>
      </text>
    </comment>
    <comment ref="G252" authorId="0" shapeId="0">
      <text>
        <t>Loan: Wintrust, AMORTIZING. Closing = Opening - Principal</t>
      </text>
    </comment>
    <comment ref="E253" authorId="0" shapeId="0">
      <text>
        <t>Sum of rows 241-252: Monthly interest for 2043</t>
      </text>
    </comment>
    <comment ref="F253" authorId="0" shapeId="0">
      <text>
        <t>Sum of rows 241-252: Monthly principal for 2043</t>
      </text>
    </comment>
    <comment ref="C254" authorId="0" shapeId="0">
      <text>
        <t>Loan: Wintrust, AMORTIZING. Source: Meiborg_Debt_Schedule_202512.xlsx</t>
      </text>
    </comment>
    <comment ref="E254" authorId="0" shapeId="0">
      <text>
        <t>Loan: Wintrust, AMORTIZING. Interest = Beg Bal * 3.61% / 12</t>
      </text>
    </comment>
    <comment ref="F254" authorId="0" shapeId="0">
      <text>
        <t>Loan: Wintrust, AMORTIZING. Principal = Payment - Interest</t>
      </text>
    </comment>
    <comment ref="G254" authorId="0" shapeId="0">
      <text>
        <t>Loan: Wintrust, AMORTIZING. Closing = Opening - Principal</t>
      </text>
    </comment>
    <comment ref="C255" authorId="0" shapeId="0">
      <text>
        <t>Loan: Wintrust, AMORTIZING. Source: Meiborg_Debt_Schedule_202512.xlsx</t>
      </text>
    </comment>
    <comment ref="E255" authorId="0" shapeId="0">
      <text>
        <t>Loan: Wintrust, AMORTIZING. Interest = Beg Bal * 3.61% / 12</t>
      </text>
    </comment>
    <comment ref="F255" authorId="0" shapeId="0">
      <text>
        <t>Loan: Wintrust, AMORTIZING. Principal = Payment - Interest</t>
      </text>
    </comment>
    <comment ref="G255" authorId="0" shapeId="0">
      <text>
        <t>Loan: Wintrust, AMORTIZING. Closing = Opening - Principal</t>
      </text>
    </comment>
    <comment ref="C256" authorId="0" shapeId="0">
      <text>
        <t>Loan: Wintrust, AMORTIZING. Source: Meiborg_Debt_Schedule_202512.xlsx</t>
      </text>
    </comment>
    <comment ref="E256" authorId="0" shapeId="0">
      <text>
        <t>Loan: Wintrust, AMORTIZING. Interest = Beg Bal * 3.61% / 12</t>
      </text>
    </comment>
    <comment ref="F256" authorId="0" shapeId="0">
      <text>
        <t>Loan: Wintrust, AMORTIZING. Principal = Payment - Interest</t>
      </text>
    </comment>
    <comment ref="G256" authorId="0" shapeId="0">
      <text>
        <t>Loan: Wintrust, AMORTIZING. Closing = Opening - Principal</t>
      </text>
    </comment>
    <comment ref="C257" authorId="0" shapeId="0">
      <text>
        <t>Loan: Wintrust, AMORTIZING. Source: Meiborg_Debt_Schedule_202512.xlsx</t>
      </text>
    </comment>
    <comment ref="E257" authorId="0" shapeId="0">
      <text>
        <t>Loan: Wintrust, AMORTIZING. Interest = Beg Bal * 3.61% / 12</t>
      </text>
    </comment>
    <comment ref="F257" authorId="0" shapeId="0">
      <text>
        <t>Loan: Wintrust, AMORTIZING. Principal = Payment - Interest</t>
      </text>
    </comment>
    <comment ref="G257" authorId="0" shapeId="0">
      <text>
        <t>Loan: Wintrust, AMORTIZING. Closing = Opening - Principal</t>
      </text>
    </comment>
    <comment ref="C258" authorId="0" shapeId="0">
      <text>
        <t>Loan: Wintrust, AMORTIZING. Source: Meiborg_Debt_Schedule_202512.xlsx</t>
      </text>
    </comment>
    <comment ref="E258" authorId="0" shapeId="0">
      <text>
        <t>Loan: Wintrust, AMORTIZING. Interest = Beg Bal * 3.61% / 12</t>
      </text>
    </comment>
    <comment ref="F258" authorId="0" shapeId="0">
      <text>
        <t>Loan: Wintrust, AMORTIZING. Principal = Payment - Interest</t>
      </text>
    </comment>
    <comment ref="G258" authorId="0" shapeId="0">
      <text>
        <t>Loan: Wintrust, AMORTIZING. Closing = Opening - Principal</t>
      </text>
    </comment>
    <comment ref="C259" authorId="0" shapeId="0">
      <text>
        <t>Loan: Wintrust, AMORTIZING. Source: Meiborg_Debt_Schedule_202512.xlsx</t>
      </text>
    </comment>
    <comment ref="E259" authorId="0" shapeId="0">
      <text>
        <t>Loan: Wintrust, AMORTIZING. Interest = Beg Bal * 3.61% / 12</t>
      </text>
    </comment>
    <comment ref="F259" authorId="0" shapeId="0">
      <text>
        <t>Loan: Wintrust, AMORTIZING. Principal = Payment - Interest</t>
      </text>
    </comment>
    <comment ref="G259" authorId="0" shapeId="0">
      <text>
        <t>Loan: Wintrust, AMORTIZING. Closing = Opening - Principal</t>
      </text>
    </comment>
    <comment ref="C260" authorId="0" shapeId="0">
      <text>
        <t>Loan: Wintrust, AMORTIZING. Source: Meiborg_Debt_Schedule_202512.xlsx</t>
      </text>
    </comment>
    <comment ref="E260" authorId="0" shapeId="0">
      <text>
        <t>Loan: Wintrust, AMORTIZING. Interest = Beg Bal * 3.61% / 12</t>
      </text>
    </comment>
    <comment ref="F260" authorId="0" shapeId="0">
      <text>
        <t>Loan: Wintrust, AMORTIZING. Principal = Payment - Interest</t>
      </text>
    </comment>
    <comment ref="G260" authorId="0" shapeId="0">
      <text>
        <t>Loan: Wintrust, AMORTIZING. Closing = Opening - Principal</t>
      </text>
    </comment>
    <comment ref="C261" authorId="0" shapeId="0">
      <text>
        <t>Loan: Wintrust, AMORTIZING. Source: Meiborg_Debt_Schedule_202512.xlsx</t>
      </text>
    </comment>
    <comment ref="E261" authorId="0" shapeId="0">
      <text>
        <t>Loan: Wintrust, AMORTIZING. Interest = Beg Bal * 3.61% / 12</t>
      </text>
    </comment>
    <comment ref="F261" authorId="0" shapeId="0">
      <text>
        <t>Loan: Wintrust, AMORTIZING. Principal = Payment - Interest</t>
      </text>
    </comment>
    <comment ref="G261" authorId="0" shapeId="0">
      <text>
        <t>Loan: Wintrust, AMORTIZING. Closing = Opening - Principal</t>
      </text>
    </comment>
    <comment ref="C262" authorId="0" shapeId="0">
      <text>
        <t>Loan: Wintrust, AMORTIZING. Source: Meiborg_Debt_Schedule_202512.xlsx</t>
      </text>
    </comment>
    <comment ref="E262" authorId="0" shapeId="0">
      <text>
        <t>Loan: Wintrust, AMORTIZING. Interest = Beg Bal * 3.61% / 12</t>
      </text>
    </comment>
    <comment ref="F262" authorId="0" shapeId="0">
      <text>
        <t>Loan: Wintrust, AMORTIZING. Principal = Payment - Interest</t>
      </text>
    </comment>
    <comment ref="G262" authorId="0" shapeId="0">
      <text>
        <t>Loan: Wintrust, AMORTIZING. Closing = Opening - Principal</t>
      </text>
    </comment>
    <comment ref="C263" authorId="0" shapeId="0">
      <text>
        <t>Loan: Wintrust, AMORTIZING. Source: Meiborg_Debt_Schedule_202512.xlsx</t>
      </text>
    </comment>
    <comment ref="E263" authorId="0" shapeId="0">
      <text>
        <t>Loan: Wintrust, AMORTIZING. Interest = Beg Bal * 3.61% / 12</t>
      </text>
    </comment>
    <comment ref="F263" authorId="0" shapeId="0">
      <text>
        <t>Loan: Wintrust, AMORTIZING. Principal = Payment - Interest</t>
      </text>
    </comment>
    <comment ref="G263" authorId="0" shapeId="0">
      <text>
        <t>Loan: Wintrust, AMORTIZING. Closing = Opening - Principal</t>
      </text>
    </comment>
    <comment ref="C264" authorId="0" shapeId="0">
      <text>
        <t>Loan: Wintrust, AMORTIZING. Source: Meiborg_Debt_Schedule_202512.xlsx</t>
      </text>
    </comment>
    <comment ref="E264" authorId="0" shapeId="0">
      <text>
        <t>Loan: Wintrust, AMORTIZING. Interest = Beg Bal * 3.61% / 12</t>
      </text>
    </comment>
    <comment ref="F264" authorId="0" shapeId="0">
      <text>
        <t>Loan: Wintrust, AMORTIZING. Principal = Payment - Interest</t>
      </text>
    </comment>
    <comment ref="G264" authorId="0" shapeId="0">
      <text>
        <t>Loan: Wintrust, AMORTIZING. Closing = Opening - Principal</t>
      </text>
    </comment>
    <comment ref="C265" authorId="0" shapeId="0">
      <text>
        <t>Loan: Wintrust, AMORTIZING. Source: Meiborg_Debt_Schedule_202512.xlsx</t>
      </text>
    </comment>
    <comment ref="E265" authorId="0" shapeId="0">
      <text>
        <t>Loan: Wintrust, AMORTIZING. Interest = Beg Bal * 3.61% / 12</t>
      </text>
    </comment>
    <comment ref="F265" authorId="0" shapeId="0">
      <text>
        <t>Loan: Wintrust, AMORTIZING. Principal = Payment - Interest</t>
      </text>
    </comment>
    <comment ref="G265" authorId="0" shapeId="0">
      <text>
        <t>Loan: Wintrust, AMORTIZING. Closing = Opening - Principal</t>
      </text>
    </comment>
    <comment ref="E266" authorId="0" shapeId="0">
      <text>
        <t>Sum of rows 254-265: Monthly interest for 2044</t>
      </text>
    </comment>
    <comment ref="F266" authorId="0" shapeId="0">
      <text>
        <t>Sum of rows 254-265: Monthly principal for 2044</t>
      </text>
    </comment>
    <comment ref="C267" authorId="0" shapeId="0">
      <text>
        <t>Loan: Wintrust, AMORTIZING. Source: Meiborg_Debt_Schedule_202512.xlsx</t>
      </text>
    </comment>
    <comment ref="E267" authorId="0" shapeId="0">
      <text>
        <t>Loan: Wintrust, AMORTIZING. Interest = Beg Bal * 3.61% / 12</t>
      </text>
    </comment>
    <comment ref="F267" authorId="0" shapeId="0">
      <text>
        <t>Loan: Wintrust, AMORTIZING. Principal = Payment - Interest</t>
      </text>
    </comment>
    <comment ref="G267" authorId="0" shapeId="0">
      <text>
        <t>Loan: Wintrust, AMORTIZING. Closing = Opening - Principal</t>
      </text>
    </comment>
    <comment ref="C268" authorId="0" shapeId="0">
      <text>
        <t>Loan: Wintrust, AMORTIZING. Source: Meiborg_Debt_Schedule_202512.xlsx</t>
      </text>
    </comment>
    <comment ref="E268" authorId="0" shapeId="0">
      <text>
        <t>Loan: Wintrust, AMORTIZING. Interest = Beg Bal * 3.61% / 12</t>
      </text>
    </comment>
    <comment ref="F268" authorId="0" shapeId="0">
      <text>
        <t>Loan: Wintrust, AMORTIZING. Principal = Payment - Interest</t>
      </text>
    </comment>
    <comment ref="G268" authorId="0" shapeId="0">
      <text>
        <t>Loan: Wintrust, AMORTIZING. Closing = Opening - Principal</t>
      </text>
    </comment>
    <comment ref="C269" authorId="0" shapeId="0">
      <text>
        <t>Loan: Wintrust, AMORTIZING. Source: Meiborg_Debt_Schedule_202512.xlsx</t>
      </text>
    </comment>
    <comment ref="E269" authorId="0" shapeId="0">
      <text>
        <t>Loan: Wintrust, AMORTIZING. Interest = Beg Bal * 3.61% / 12</t>
      </text>
    </comment>
    <comment ref="F269" authorId="0" shapeId="0">
      <text>
        <t>Loan: Wintrust, AMORTIZING. Principal = Payment - Interest</t>
      </text>
    </comment>
    <comment ref="G269" authorId="0" shapeId="0">
      <text>
        <t>Loan: Wintrust, AMORTIZING. Closing = Opening - Principal</t>
      </text>
    </comment>
    <comment ref="C270" authorId="0" shapeId="0">
      <text>
        <t>Loan: Wintrust, AMORTIZING. Source: Meiborg_Debt_Schedule_202512.xlsx</t>
      </text>
    </comment>
    <comment ref="E270" authorId="0" shapeId="0">
      <text>
        <t>Loan: Wintrust, AMORTIZING. Interest = Beg Bal * 3.61% / 12</t>
      </text>
    </comment>
    <comment ref="F270" authorId="0" shapeId="0">
      <text>
        <t>Loan: Wintrust, AMORTIZING. Principal = Payment - Interest</t>
      </text>
    </comment>
    <comment ref="G270" authorId="0" shapeId="0">
      <text>
        <t>Loan: Wintrust, AMORTIZING. Closing = Opening - Principal</t>
      </text>
    </comment>
    <comment ref="C271" authorId="0" shapeId="0">
      <text>
        <t>Loan: Wintrust, AMORTIZING. Source: Meiborg_Debt_Schedule_202512.xlsx</t>
      </text>
    </comment>
    <comment ref="E271" authorId="0" shapeId="0">
      <text>
        <t>Loan: Wintrust, AMORTIZING. Interest = Beg Bal * 3.61% / 12</t>
      </text>
    </comment>
    <comment ref="F271" authorId="0" shapeId="0">
      <text>
        <t>Loan: Wintrust, AMORTIZING. Principal = Payment - Interest</t>
      </text>
    </comment>
    <comment ref="G271" authorId="0" shapeId="0">
      <text>
        <t>Loan: Wintrust, AMORTIZING. Closing = Opening - Principal</t>
      </text>
    </comment>
    <comment ref="C272" authorId="0" shapeId="0">
      <text>
        <t>Loan: Wintrust, AMORTIZING. Source: Meiborg_Debt_Schedule_202512.xlsx</t>
      </text>
    </comment>
    <comment ref="E272" authorId="0" shapeId="0">
      <text>
        <t>Loan: Wintrust, AMORTIZING. Interest = Beg Bal * 3.61% / 12</t>
      </text>
    </comment>
    <comment ref="F272" authorId="0" shapeId="0">
      <text>
        <t>Loan: Wintrust, AMORTIZING. Principal = Payment - Interest</t>
      </text>
    </comment>
    <comment ref="G272" authorId="0" shapeId="0">
      <text>
        <t>Loan: Wintrust, AMORTIZING. Closing = Opening - Principal</t>
      </text>
    </comment>
    <comment ref="C273" authorId="0" shapeId="0">
      <text>
        <t>Loan: Wintrust, AMORTIZING. Source: Meiborg_Debt_Schedule_202512.xlsx</t>
      </text>
    </comment>
    <comment ref="E273" authorId="0" shapeId="0">
      <text>
        <t>Loan: Wintrust, AMORTIZING. Interest = Beg Bal * 3.61% / 12</t>
      </text>
    </comment>
    <comment ref="F273" authorId="0" shapeId="0">
      <text>
        <t>Loan: Wintrust, AMORTIZING. Principal = Payment - Interest</t>
      </text>
    </comment>
    <comment ref="G273" authorId="0" shapeId="0">
      <text>
        <t>Loan: Wintrust, AMORTIZING. Closing = Opening - Principal</t>
      </text>
    </comment>
    <comment ref="C274" authorId="0" shapeId="0">
      <text>
        <t>Loan: Wintrust, AMORTIZING. Source: Meiborg_Debt_Schedule_202512.xlsx</t>
      </text>
    </comment>
    <comment ref="E274" authorId="0" shapeId="0">
      <text>
        <t>Loan: Wintrust, AMORTIZING. Interest = Beg Bal * 3.61% / 12</t>
      </text>
    </comment>
    <comment ref="F274" authorId="0" shapeId="0">
      <text>
        <t>Loan: Wintrust, AMORTIZING. Principal = Payment - Interest</t>
      </text>
    </comment>
    <comment ref="G274" authorId="0" shapeId="0">
      <text>
        <t>Loan: Wintrust, AMORTIZING. Closing = Opening - Principal</t>
      </text>
    </comment>
    <comment ref="C275" authorId="0" shapeId="0">
      <text>
        <t>Loan: Wintrust, AMORTIZING. Source: Meiborg_Debt_Schedule_202512.xlsx</t>
      </text>
    </comment>
    <comment ref="E275" authorId="0" shapeId="0">
      <text>
        <t>Loan: Wintrust, AMORTIZING. Interest = Beg Bal * 3.61% / 12</t>
      </text>
    </comment>
    <comment ref="F275" authorId="0" shapeId="0">
      <text>
        <t>Loan: Wintrust, AMORTIZING. Principal = Payment - Interest</t>
      </text>
    </comment>
    <comment ref="G275" authorId="0" shapeId="0">
      <text>
        <t>Loan: Wintrust, AMORTIZING. Closing = Opening - Principal</t>
      </text>
    </comment>
    <comment ref="C276" authorId="0" shapeId="0">
      <text>
        <t>Loan: Wintrust, AMORTIZING. Source: Meiborg_Debt_Schedule_202512.xlsx</t>
      </text>
    </comment>
    <comment ref="E276" authorId="0" shapeId="0">
      <text>
        <t>Loan: Wintrust, AMORTIZING. Interest = Beg Bal * 3.61% / 12</t>
      </text>
    </comment>
    <comment ref="F276" authorId="0" shapeId="0">
      <text>
        <t>Loan: Wintrust, AMORTIZING. Principal = Payment - Interest</t>
      </text>
    </comment>
    <comment ref="G276" authorId="0" shapeId="0">
      <text>
        <t>Loan: Wintrust, AMORTIZING. Closing = Opening - Principal</t>
      </text>
    </comment>
    <comment ref="C277" authorId="0" shapeId="0">
      <text>
        <t>Loan: Wintrust, AMORTIZING. Source: Meiborg_Debt_Schedule_202512.xlsx</t>
      </text>
    </comment>
    <comment ref="E277" authorId="0" shapeId="0">
      <text>
        <t>Loan: Wintrust, AMORTIZING. Interest = Beg Bal * 3.61% / 12</t>
      </text>
    </comment>
    <comment ref="F277" authorId="0" shapeId="0">
      <text>
        <t>Loan: Wintrust, AMORTIZING. Principal = Payment - Interest</t>
      </text>
    </comment>
    <comment ref="G277" authorId="0" shapeId="0">
      <text>
        <t>Loan: Wintrust, AMORTIZING. Closing = Opening - Principal</t>
      </text>
    </comment>
    <comment ref="C278" authorId="0" shapeId="0">
      <text>
        <t>Loan: Wintrust, AMORTIZING. Source: Meiborg_Debt_Schedule_202512.xlsx</t>
      </text>
    </comment>
    <comment ref="E278" authorId="0" shapeId="0">
      <text>
        <t>Loan: Wintrust, AMORTIZING. Interest = Beg Bal * 3.61% / 12</t>
      </text>
    </comment>
    <comment ref="F278" authorId="0" shapeId="0">
      <text>
        <t>Loan: Wintrust, AMORTIZING. Principal = Payment - Interest</t>
      </text>
    </comment>
    <comment ref="G278" authorId="0" shapeId="0">
      <text>
        <t>Loan: Wintrust, AMORTIZING. Closing = Opening - Principal</t>
      </text>
    </comment>
    <comment ref="E279" authorId="0" shapeId="0">
      <text>
        <t>Sum of rows 267-278: Monthly interest for 2045</t>
      </text>
    </comment>
    <comment ref="F279" authorId="0" shapeId="0">
      <text>
        <t>Sum of rows 267-278: Monthly principal for 2045</t>
      </text>
    </comment>
    <comment ref="C280" authorId="0" shapeId="0">
      <text>
        <t>Loan: Wintrust, AMORTIZING. Source: Meiborg_Debt_Schedule_202512.xlsx</t>
      </text>
    </comment>
    <comment ref="E280" authorId="0" shapeId="0">
      <text>
        <t>Loan: Wintrust, AMORTIZING. Interest = Beg Bal * 3.61% / 12</t>
      </text>
    </comment>
    <comment ref="F280" authorId="0" shapeId="0">
      <text>
        <t>Loan: Wintrust, AMORTIZING. Principal = Payment - Interest</t>
      </text>
    </comment>
    <comment ref="G280" authorId="0" shapeId="0">
      <text>
        <t>Loan: Wintrust, AMORTIZING. Closing = Opening - Principal</t>
      </text>
    </comment>
    <comment ref="C281" authorId="0" shapeId="0">
      <text>
        <t>Loan: Wintrust, AMORTIZING. Source: Meiborg_Debt_Schedule_202512.xlsx</t>
      </text>
    </comment>
    <comment ref="E281" authorId="0" shapeId="0">
      <text>
        <t>Loan: Wintrust, AMORTIZING. Interest = Beg Bal * 3.61% / 12</t>
      </text>
    </comment>
    <comment ref="F281" authorId="0" shapeId="0">
      <text>
        <t>Loan: Wintrust, AMORTIZING. Principal = Payment - Interest</t>
      </text>
    </comment>
    <comment ref="G281" authorId="0" shapeId="0">
      <text>
        <t>Loan: Wintrust, AMORTIZING. Closing = Opening - Principal</t>
      </text>
    </comment>
    <comment ref="C282" authorId="0" shapeId="0">
      <text>
        <t>Loan: Wintrust, AMORTIZING. Source: Meiborg_Debt_Schedule_202512.xlsx</t>
      </text>
    </comment>
    <comment ref="E282" authorId="0" shapeId="0">
      <text>
        <t>Loan: Wintrust, AMORTIZING. Interest = Beg Bal * 3.61% / 12</t>
      </text>
    </comment>
    <comment ref="F282" authorId="0" shapeId="0">
      <text>
        <t>Loan: Wintrust, AMORTIZING. Principal = Payment - Interest</t>
      </text>
    </comment>
    <comment ref="G282" authorId="0" shapeId="0">
      <text>
        <t>Loan: Wintrust, AMORTIZING. Closing = Opening - Principal</t>
      </text>
    </comment>
    <comment ref="C283" authorId="0" shapeId="0">
      <text>
        <t>Loan: Wintrust, AMORTIZING. Source: Meiborg_Debt_Schedule_202512.xlsx</t>
      </text>
    </comment>
    <comment ref="E283" authorId="0" shapeId="0">
      <text>
        <t>Loan: Wintrust, AMORTIZING. Interest = Beg Bal * 3.61% / 12</t>
      </text>
    </comment>
    <comment ref="F283" authorId="0" shapeId="0">
      <text>
        <t>Loan: Wintrust, AMORTIZING. Principal = Payment - Interest</t>
      </text>
    </comment>
    <comment ref="G283" authorId="0" shapeId="0">
      <text>
        <t>Loan: Wintrust, AMORTIZING. Closing = Opening - Principal</t>
      </text>
    </comment>
    <comment ref="B288" authorId="0" shapeId="0">
      <text>
        <t>Links to: row 32 - 2026 Interest Total</t>
      </text>
    </comment>
    <comment ref="B289" authorId="0" shapeId="0">
      <text>
        <t>Links to: row 45 - 2027 Interest Total</t>
      </text>
    </comment>
    <comment ref="B290" authorId="0" shapeId="0">
      <text>
        <t>Links to: row 58 - 2028 Interest Total</t>
      </text>
    </comment>
  </commentList>
</comments>
</file>

<file path=xl/comments/comment12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loans.md, Paccar Loan 1
Extracted: 2026-05-14</t>
      </text>
    </comment>
    <comment ref="B6" authorId="0" shapeId="0">
      <text>
        <t>Loan: Paccar, 15 Kenworth T-680. Source: Meiborg_Debt_Schedule_202512.xlsx
Balance as of 12/31/2025</t>
      </text>
    </comment>
    <comment ref="B7" authorId="0" shapeId="0">
      <text>
        <t>Loan: Paccar, 15 Kenworth T-680. Source: Meiborg_Debt_Schedule_202512.xlsx</t>
      </text>
    </comment>
    <comment ref="B8" authorId="0" shapeId="0">
      <text>
        <t>Loan: Paccar, 15 Kenworth T-680. Source: Meiborg_Debt_Schedule_202512.xlsx</t>
      </text>
    </comment>
    <comment ref="C23" authorId="0" shapeId="0">
      <text>
        <t>Links to: Opening Balance input cell B6</t>
      </text>
    </comment>
    <comment ref="D23" authorId="0" shapeId="0">
      <text>
        <t>Loan: Paccar, 15 Kenworth T-680. Interest = Opening * Annual Rate / 12</t>
      </text>
    </comment>
    <comment ref="E23" authorId="0" shapeId="0">
      <text>
        <t>Loan: Paccar, 15 Kenworth T-680. Principal = MIN(Opening, Payment - Interest)</t>
      </text>
    </comment>
    <comment ref="F23" authorId="0" shapeId="0">
      <text>
        <t>Loan: Paccar, 15 Kenworth T-680. Closing = Opening - Principal</t>
      </text>
    </comment>
    <comment ref="C24" authorId="0" shapeId="0">
      <text>
        <t>Links to: Prior month closing balance row 23</t>
      </text>
    </comment>
    <comment ref="D24" authorId="0" shapeId="0">
      <text>
        <t>Loan: Paccar, 15 Kenworth T-680. Interest = Opening * Annual Rate / 12</t>
      </text>
    </comment>
    <comment ref="E24" authorId="0" shapeId="0">
      <text>
        <t>Loan: Paccar, 15 Kenworth T-680. Principal = MIN(Opening, Payment - Interest)</t>
      </text>
    </comment>
    <comment ref="F24" authorId="0" shapeId="0">
      <text>
        <t>Loan: Paccar, 15 Kenworth T-680. Closing = Opening - Principal</t>
      </text>
    </comment>
    <comment ref="C25" authorId="0" shapeId="0">
      <text>
        <t>Links to: Prior month closing balance row 24</t>
      </text>
    </comment>
    <comment ref="D25" authorId="0" shapeId="0">
      <text>
        <t>Loan: Paccar, 15 Kenworth T-680. Interest = Opening * Annual Rate / 12</t>
      </text>
    </comment>
    <comment ref="E25" authorId="0" shapeId="0">
      <text>
        <t>Loan: Paccar, 15 Kenworth T-680. Principal = MIN(Opening, Payment - Interest)</t>
      </text>
    </comment>
    <comment ref="F25" authorId="0" shapeId="0">
      <text>
        <t>Loan: Paccar, 15 Kenworth T-680. Closing = Opening - Principal</t>
      </text>
    </comment>
    <comment ref="C26" authorId="0" shapeId="0">
      <text>
        <t>Links to: Prior month closing balance row 25</t>
      </text>
    </comment>
    <comment ref="D26" authorId="0" shapeId="0">
      <text>
        <t>Loan: Paccar, 15 Kenworth T-680. Interest = Opening * Annual Rate / 12</t>
      </text>
    </comment>
    <comment ref="E26" authorId="0" shapeId="0">
      <text>
        <t>Loan: Paccar, 15 Kenworth T-680. Principal = MIN(Opening, Payment - Interest)</t>
      </text>
    </comment>
    <comment ref="F26" authorId="0" shapeId="0">
      <text>
        <t>Loan: Paccar, 15 Kenworth T-680. Closing = Opening - Principal</t>
      </text>
    </comment>
    <comment ref="C27" authorId="0" shapeId="0">
      <text>
        <t>Links to: Prior month closing balance row 26</t>
      </text>
    </comment>
    <comment ref="D27" authorId="0" shapeId="0">
      <text>
        <t>Loan: Paccar, 15 Kenworth T-680. Interest = Opening * Annual Rate / 12</t>
      </text>
    </comment>
    <comment ref="E27" authorId="0" shapeId="0">
      <text>
        <t>Loan: Paccar, 15 Kenworth T-680. Principal = MIN(Opening, Payment - Interest)</t>
      </text>
    </comment>
    <comment ref="F27" authorId="0" shapeId="0">
      <text>
        <t>Loan: Paccar, 15 Kenworth T-680. Closing = Opening - Principal</t>
      </text>
    </comment>
    <comment ref="C28" authorId="0" shapeId="0">
      <text>
        <t>Links to: Prior month closing balance row 27</t>
      </text>
    </comment>
    <comment ref="D28" authorId="0" shapeId="0">
      <text>
        <t>Loan: Paccar, 15 Kenworth T-680. Interest = Opening * Annual Rate / 12</t>
      </text>
    </comment>
    <comment ref="E28" authorId="0" shapeId="0">
      <text>
        <t>Loan: Paccar, 15 Kenworth T-680. Principal = MIN(Opening, Payment - Interest)</t>
      </text>
    </comment>
    <comment ref="F28" authorId="0" shapeId="0">
      <text>
        <t>Loan: Paccar, 15 Kenworth T-680. Closing = Opening - Principal</t>
      </text>
    </comment>
    <comment ref="C29" authorId="0" shapeId="0">
      <text>
        <t>Links to: Prior month closing balance row 28</t>
      </text>
    </comment>
    <comment ref="D29" authorId="0" shapeId="0">
      <text>
        <t>Loan: Paccar, 15 Kenworth T-680. Interest = Opening * Annual Rate / 12</t>
      </text>
    </comment>
    <comment ref="E29" authorId="0" shapeId="0">
      <text>
        <t>Loan: Paccar, 15 Kenworth T-680. Principal = MIN(Opening, Payment - Interest)</t>
      </text>
    </comment>
    <comment ref="F29" authorId="0" shapeId="0">
      <text>
        <t>Loan: Paccar, 15 Kenworth T-680. Closing = Opening - Principal</t>
      </text>
    </comment>
    <comment ref="C30" authorId="0" shapeId="0">
      <text>
        <t>Links to: Prior month closing balance row 29</t>
      </text>
    </comment>
    <comment ref="D30" authorId="0" shapeId="0">
      <text>
        <t>Loan: Paccar, 15 Kenworth T-680. Interest = Opening * Annual Rate / 12</t>
      </text>
    </comment>
    <comment ref="E30" authorId="0" shapeId="0">
      <text>
        <t>Loan: Paccar, 15 Kenworth T-680. Principal = MIN(Opening, Payment - Interest)</t>
      </text>
    </comment>
    <comment ref="F30" authorId="0" shapeId="0">
      <text>
        <t>Loan: Paccar, 15 Kenworth T-680. Closing = Opening - Principal</t>
      </text>
    </comment>
    <comment ref="C31" authorId="0" shapeId="0">
      <text>
        <t>Links to: Prior month closing balance row 30</t>
      </text>
    </comment>
    <comment ref="D31" authorId="0" shapeId="0">
      <text>
        <t>Loan: Paccar, 15 Kenworth T-680. Interest = Opening * Annual Rate / 12</t>
      </text>
    </comment>
    <comment ref="E31" authorId="0" shapeId="0">
      <text>
        <t>Loan: Paccar, 15 Kenworth T-680. Principal = MIN(Opening, Payment - Interest)</t>
      </text>
    </comment>
    <comment ref="F31" authorId="0" shapeId="0">
      <text>
        <t>Loan: Paccar, 15 Kenworth T-680. Closing = Opening - Principal</t>
      </text>
    </comment>
    <comment ref="C32" authorId="0" shapeId="0">
      <text>
        <t>Links to: Prior month closing balance row 31</t>
      </text>
    </comment>
    <comment ref="D32" authorId="0" shapeId="0">
      <text>
        <t>Loan: Paccar, 15 Kenworth T-680. Interest = Opening * Annual Rate / 12</t>
      </text>
    </comment>
    <comment ref="E32" authorId="0" shapeId="0">
      <text>
        <t>Loan: Paccar, 15 Kenworth T-680. Principal = MIN(Opening, Payment - Interest)</t>
      </text>
    </comment>
    <comment ref="F32" authorId="0" shapeId="0">
      <text>
        <t>Loan: Paccar, 15 Kenworth T-680. Closing = Opening - Principal</t>
      </text>
    </comment>
    <comment ref="C37" authorId="0" shapeId="0">
      <text>
        <t>Sum of rows 23-32: Annual opening balance</t>
      </text>
    </comment>
    <comment ref="D37" authorId="0" shapeId="0">
      <text>
        <t>Sum of rows 23-32: Annual interest expense</t>
      </text>
    </comment>
    <comment ref="E37" authorId="0" shapeId="0">
      <text>
        <t>Sum of rows 23-32: Annual principal repayment</t>
      </text>
    </comment>
    <comment ref="F37" authorId="0" shapeId="0">
      <text>
        <t>Sum of rows 23-32: Year-end closing balance</t>
      </text>
    </comment>
    <comment ref="B40" authorId="0" shapeId="0">
      <text>
        <t>Links to: Year-end 2026 closing balance for Debt Schedule reference</t>
      </text>
    </comment>
  </commentList>
</comments>
</file>

<file path=xl/comments/comment13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loans.md, Paccar Loan 2
Extracted: 2026-05-14</t>
      </text>
    </comment>
    <comment ref="B6" authorId="0" shapeId="0">
      <text>
        <t>Loan: Paccar, Kenworth T880 Wrecker. Source: Meiborg_Debt_Schedule_202512.xlsx
Balance as of 12/31/2025</t>
      </text>
    </comment>
    <comment ref="B7" authorId="0" shapeId="0">
      <text>
        <t>Loan: Paccar, Kenworth T880 Wrecker. Source: Meiborg_Debt_Schedule_202512.xlsx</t>
      </text>
    </comment>
    <comment ref="B8" authorId="0" shapeId="0">
      <text>
        <t>Loan: Paccar, Kenworth T880 Wrecker. Source: Meiborg_Debt_Schedule_202512.xlsx</t>
      </text>
    </comment>
    <comment ref="C23" authorId="0" shapeId="0">
      <text>
        <t>Links to: Opening Balance input cell B6</t>
      </text>
    </comment>
    <comment ref="D23" authorId="0" shapeId="0">
      <text>
        <t>Loan: Paccar, Kenworth T880 Wrecker. Interest = Opening * Annual Rate / 12</t>
      </text>
    </comment>
    <comment ref="E23" authorId="0" shapeId="0">
      <text>
        <t>Loan: Paccar, Kenworth T880 Wrecker. Principal = MIN(Opening, Payment - Interest)</t>
      </text>
    </comment>
    <comment ref="F23" authorId="0" shapeId="0">
      <text>
        <t>Loan: Paccar, Kenworth T880 Wrecker. Closing = Opening - Principal</t>
      </text>
    </comment>
    <comment ref="C24" authorId="0" shapeId="0">
      <text>
        <t>Links to: Prior month closing balance row 23</t>
      </text>
    </comment>
    <comment ref="D24" authorId="0" shapeId="0">
      <text>
        <t>Loan: Paccar, Kenworth T880 Wrecker. Interest = Opening * Annual Rate / 12</t>
      </text>
    </comment>
    <comment ref="E24" authorId="0" shapeId="0">
      <text>
        <t>Loan: Paccar, Kenworth T880 Wrecker. Principal = MIN(Opening, Payment - Interest)</t>
      </text>
    </comment>
    <comment ref="F24" authorId="0" shapeId="0">
      <text>
        <t>Loan: Paccar, Kenworth T880 Wrecker. Closing = Opening - Principal</t>
      </text>
    </comment>
    <comment ref="C25" authorId="0" shapeId="0">
      <text>
        <t>Links to: Prior month closing balance row 24</t>
      </text>
    </comment>
    <comment ref="D25" authorId="0" shapeId="0">
      <text>
        <t>Loan: Paccar, Kenworth T880 Wrecker. Interest = Opening * Annual Rate / 12</t>
      </text>
    </comment>
    <comment ref="E25" authorId="0" shapeId="0">
      <text>
        <t>Loan: Paccar, Kenworth T880 Wrecker. Principal = MIN(Opening, Payment - Interest)</t>
      </text>
    </comment>
    <comment ref="F25" authorId="0" shapeId="0">
      <text>
        <t>Loan: Paccar, Kenworth T880 Wrecker. Closing = Opening - Principal</t>
      </text>
    </comment>
    <comment ref="C26" authorId="0" shapeId="0">
      <text>
        <t>Links to: Prior month closing balance row 25</t>
      </text>
    </comment>
    <comment ref="D26" authorId="0" shapeId="0">
      <text>
        <t>Loan: Paccar, Kenworth T880 Wrecker. Interest = Opening * Annual Rate / 12</t>
      </text>
    </comment>
    <comment ref="E26" authorId="0" shapeId="0">
      <text>
        <t>Loan: Paccar, Kenworth T880 Wrecker. Principal = MIN(Opening, Payment - Interest)</t>
      </text>
    </comment>
    <comment ref="F26" authorId="0" shapeId="0">
      <text>
        <t>Loan: Paccar, Kenworth T880 Wrecker. Closing = Opening - Principal</t>
      </text>
    </comment>
    <comment ref="C27" authorId="0" shapeId="0">
      <text>
        <t>Links to: Prior month closing balance row 26</t>
      </text>
    </comment>
    <comment ref="D27" authorId="0" shapeId="0">
      <text>
        <t>Loan: Paccar, Kenworth T880 Wrecker. Interest = Opening * Annual Rate / 12</t>
      </text>
    </comment>
    <comment ref="E27" authorId="0" shapeId="0">
      <text>
        <t>Loan: Paccar, Kenworth T880 Wrecker. Principal = MIN(Opening, Payment - Interest)</t>
      </text>
    </comment>
    <comment ref="F27" authorId="0" shapeId="0">
      <text>
        <t>Loan: Paccar, Kenworth T880 Wrecker. Closing = Opening - Principal</t>
      </text>
    </comment>
    <comment ref="C28" authorId="0" shapeId="0">
      <text>
        <t>Links to: Prior month closing balance row 27</t>
      </text>
    </comment>
    <comment ref="D28" authorId="0" shapeId="0">
      <text>
        <t>Loan: Paccar, Kenworth T880 Wrecker. Interest = Opening * Annual Rate / 12</t>
      </text>
    </comment>
    <comment ref="E28" authorId="0" shapeId="0">
      <text>
        <t>Loan: Paccar, Kenworth T880 Wrecker. Principal = MIN(Opening, Payment - Interest)</t>
      </text>
    </comment>
    <comment ref="F28" authorId="0" shapeId="0">
      <text>
        <t>Loan: Paccar, Kenworth T880 Wrecker. Closing = Opening - Principal</t>
      </text>
    </comment>
    <comment ref="C29" authorId="0" shapeId="0">
      <text>
        <t>Links to: Prior month closing balance row 28</t>
      </text>
    </comment>
    <comment ref="D29" authorId="0" shapeId="0">
      <text>
        <t>Loan: Paccar, Kenworth T880 Wrecker. Interest = Opening * Annual Rate / 12</t>
      </text>
    </comment>
    <comment ref="E29" authorId="0" shapeId="0">
      <text>
        <t>Loan: Paccar, Kenworth T880 Wrecker. Principal = MIN(Opening, Payment - Interest)</t>
      </text>
    </comment>
    <comment ref="F29" authorId="0" shapeId="0">
      <text>
        <t>Loan: Paccar, Kenworth T880 Wrecker. Closing = Opening - Principal</t>
      </text>
    </comment>
    <comment ref="C30" authorId="0" shapeId="0">
      <text>
        <t>Links to: Prior month closing balance row 29</t>
      </text>
    </comment>
    <comment ref="D30" authorId="0" shapeId="0">
      <text>
        <t>Loan: Paccar, Kenworth T880 Wrecker. Interest = Opening * Annual Rate / 12</t>
      </text>
    </comment>
    <comment ref="E30" authorId="0" shapeId="0">
      <text>
        <t>Loan: Paccar, Kenworth T880 Wrecker. Principal = MIN(Opening, Payment - Interest)</t>
      </text>
    </comment>
    <comment ref="F30" authorId="0" shapeId="0">
      <text>
        <t>Loan: Paccar, Kenworth T880 Wrecker. Closing = Opening - Principal</t>
      </text>
    </comment>
    <comment ref="C31" authorId="0" shapeId="0">
      <text>
        <t>Links to: Prior month closing balance row 30</t>
      </text>
    </comment>
    <comment ref="D31" authorId="0" shapeId="0">
      <text>
        <t>Loan: Paccar, Kenworth T880 Wrecker. Interest = Opening * Annual Rate / 12</t>
      </text>
    </comment>
    <comment ref="E31" authorId="0" shapeId="0">
      <text>
        <t>Loan: Paccar, Kenworth T880 Wrecker. Principal = MIN(Opening, Payment - Interest)</t>
      </text>
    </comment>
    <comment ref="F31" authorId="0" shapeId="0">
      <text>
        <t>Loan: Paccar, Kenworth T880 Wrecker. Closing = Opening - Principal</t>
      </text>
    </comment>
    <comment ref="C32" authorId="0" shapeId="0">
      <text>
        <t>Links to: Prior month closing balance row 31</t>
      </text>
    </comment>
    <comment ref="D32" authorId="0" shapeId="0">
      <text>
        <t>Loan: Paccar, Kenworth T880 Wrecker. Interest = Opening * Annual Rate / 12</t>
      </text>
    </comment>
    <comment ref="E32" authorId="0" shapeId="0">
      <text>
        <t>Loan: Paccar, Kenworth T880 Wrecker. Principal = MIN(Opening, Payment - Interest)</t>
      </text>
    </comment>
    <comment ref="F32" authorId="0" shapeId="0">
      <text>
        <t>Loan: Paccar, Kenworth T880 Wrecker. Closing = Opening - Principal</t>
      </text>
    </comment>
    <comment ref="C33" authorId="0" shapeId="0">
      <text>
        <t>Links to: Prior month closing balance row 32</t>
      </text>
    </comment>
    <comment ref="D33" authorId="0" shapeId="0">
      <text>
        <t>Loan: Paccar, Kenworth T880 Wrecker. Interest = Opening * Annual Rate / 12</t>
      </text>
    </comment>
    <comment ref="E33" authorId="0" shapeId="0">
      <text>
        <t>Loan: Paccar, Kenworth T880 Wrecker. Principal = MIN(Opening, Payment - Interest)</t>
      </text>
    </comment>
    <comment ref="F33" authorId="0" shapeId="0">
      <text>
        <t>Loan: Paccar, Kenworth T880 Wrecker. Closing = Opening - Principal</t>
      </text>
    </comment>
    <comment ref="C38" authorId="0" shapeId="0">
      <text>
        <t>Sum of rows 23-33: Annual opening balance</t>
      </text>
    </comment>
    <comment ref="D38" authorId="0" shapeId="0">
      <text>
        <t>Sum of rows 23-33: Annual interest expense</t>
      </text>
    </comment>
    <comment ref="E38" authorId="0" shapeId="0">
      <text>
        <t>Sum of rows 23-33: Annual principal repayment</t>
      </text>
    </comment>
    <comment ref="F38" authorId="0" shapeId="0">
      <text>
        <t>Sum of rows 23-33: Year-end closing balance</t>
      </text>
    </comment>
    <comment ref="B41" authorId="0" shapeId="0">
      <text>
        <t>Links to: Year-end 2026 closing balance for Debt Schedule reference</t>
      </text>
    </comment>
  </commentList>
</comments>
</file>

<file path=xl/comments/comment14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loans.md, Paccar Loan 3
Extracted: 2026-05-14</t>
      </text>
    </comment>
    <comment ref="B6" authorId="0" shapeId="0">
      <text>
        <t>Loan: Paccar, 4 T880 Day Cabs. Source: Meiborg_Debt_Schedule_202512.xlsx
Balance as of 12/31/2025</t>
      </text>
    </comment>
    <comment ref="B7" authorId="0" shapeId="0">
      <text>
        <t>Loan: Paccar, 4 T880 Day Cabs. Source: Meiborg_Debt_Schedule_202512.xlsx</t>
      </text>
    </comment>
    <comment ref="B8" authorId="0" shapeId="0">
      <text>
        <t>Loan: Paccar, 4 T880 Day Cabs. Source: Meiborg_Debt_Schedule_202512.xlsx</t>
      </text>
    </comment>
    <comment ref="C23" authorId="0" shapeId="0">
      <text>
        <t>Links to: Opening Balance input cell B6</t>
      </text>
    </comment>
    <comment ref="D23" authorId="0" shapeId="0">
      <text>
        <t>Loan: Paccar, 4 T880 Day Cabs. Interest = Opening * Annual Rate / 12</t>
      </text>
    </comment>
    <comment ref="E23" authorId="0" shapeId="0">
      <text>
        <t>Loan: Paccar, 4 T880 Day Cabs. Principal = MIN(Opening, Payment - Interest)</t>
      </text>
    </comment>
    <comment ref="F23" authorId="0" shapeId="0">
      <text>
        <t>Loan: Paccar, 4 T880 Day Cabs. Closing = Opening - Principal</t>
      </text>
    </comment>
    <comment ref="C24" authorId="0" shapeId="0">
      <text>
        <t>Links to: Prior month closing balance row 23</t>
      </text>
    </comment>
    <comment ref="D24" authorId="0" shapeId="0">
      <text>
        <t>Loan: Paccar, 4 T880 Day Cabs. Interest = Opening * Annual Rate / 12</t>
      </text>
    </comment>
    <comment ref="E24" authorId="0" shapeId="0">
      <text>
        <t>Loan: Paccar, 4 T880 Day Cabs. Principal = MIN(Opening, Payment - Interest)</t>
      </text>
    </comment>
    <comment ref="F24" authorId="0" shapeId="0">
      <text>
        <t>Loan: Paccar, 4 T880 Day Cabs. Closing = Opening - Principal</t>
      </text>
    </comment>
    <comment ref="C25" authorId="0" shapeId="0">
      <text>
        <t>Links to: Prior month closing balance row 24</t>
      </text>
    </comment>
    <comment ref="D25" authorId="0" shapeId="0">
      <text>
        <t>Loan: Paccar, 4 T880 Day Cabs. Interest = Opening * Annual Rate / 12</t>
      </text>
    </comment>
    <comment ref="E25" authorId="0" shapeId="0">
      <text>
        <t>Loan: Paccar, 4 T880 Day Cabs. Principal = MIN(Opening, Payment - Interest)</t>
      </text>
    </comment>
    <comment ref="F25" authorId="0" shapeId="0">
      <text>
        <t>Loan: Paccar, 4 T880 Day Cabs. Closing = Opening - Principal</t>
      </text>
    </comment>
    <comment ref="C26" authorId="0" shapeId="0">
      <text>
        <t>Links to: Prior month closing balance row 25</t>
      </text>
    </comment>
    <comment ref="D26" authorId="0" shapeId="0">
      <text>
        <t>Loan: Paccar, 4 T880 Day Cabs. Interest = Opening * Annual Rate / 12</t>
      </text>
    </comment>
    <comment ref="E26" authorId="0" shapeId="0">
      <text>
        <t>Loan: Paccar, 4 T880 Day Cabs. Principal = MIN(Opening, Payment - Interest)</t>
      </text>
    </comment>
    <comment ref="F26" authorId="0" shapeId="0">
      <text>
        <t>Loan: Paccar, 4 T880 Day Cabs. Closing = Opening - Principal</t>
      </text>
    </comment>
    <comment ref="C27" authorId="0" shapeId="0">
      <text>
        <t>Links to: Prior month closing balance row 26</t>
      </text>
    </comment>
    <comment ref="D27" authorId="0" shapeId="0">
      <text>
        <t>Loan: Paccar, 4 T880 Day Cabs. Interest = Opening * Annual Rate / 12</t>
      </text>
    </comment>
    <comment ref="E27" authorId="0" shapeId="0">
      <text>
        <t>Loan: Paccar, 4 T880 Day Cabs. Principal = MIN(Opening, Payment - Interest)</t>
      </text>
    </comment>
    <comment ref="F27" authorId="0" shapeId="0">
      <text>
        <t>Loan: Paccar, 4 T880 Day Cabs. Closing = Opening - Principal</t>
      </text>
    </comment>
    <comment ref="C28" authorId="0" shapeId="0">
      <text>
        <t>Links to: Prior month closing balance row 27</t>
      </text>
    </comment>
    <comment ref="D28" authorId="0" shapeId="0">
      <text>
        <t>Loan: Paccar, 4 T880 Day Cabs. Interest = Opening * Annual Rate / 12</t>
      </text>
    </comment>
    <comment ref="E28" authorId="0" shapeId="0">
      <text>
        <t>Loan: Paccar, 4 T880 Day Cabs. Principal = MIN(Opening, Payment - Interest)</t>
      </text>
    </comment>
    <comment ref="F28" authorId="0" shapeId="0">
      <text>
        <t>Loan: Paccar, 4 T880 Day Cabs. Closing = Opening - Principal</t>
      </text>
    </comment>
    <comment ref="C29" authorId="0" shapeId="0">
      <text>
        <t>Links to: Prior month closing balance row 28</t>
      </text>
    </comment>
    <comment ref="D29" authorId="0" shapeId="0">
      <text>
        <t>Loan: Paccar, 4 T880 Day Cabs. Interest = Opening * Annual Rate / 12</t>
      </text>
    </comment>
    <comment ref="E29" authorId="0" shapeId="0">
      <text>
        <t>Loan: Paccar, 4 T880 Day Cabs. Principal = MIN(Opening, Payment - Interest)</t>
      </text>
    </comment>
    <comment ref="F29" authorId="0" shapeId="0">
      <text>
        <t>Loan: Paccar, 4 T880 Day Cabs. Closing = Opening - Principal</t>
      </text>
    </comment>
    <comment ref="C30" authorId="0" shapeId="0">
      <text>
        <t>Links to: Prior month closing balance row 29</t>
      </text>
    </comment>
    <comment ref="D30" authorId="0" shapeId="0">
      <text>
        <t>Loan: Paccar, 4 T880 Day Cabs. Interest = Opening * Annual Rate / 12</t>
      </text>
    </comment>
    <comment ref="E30" authorId="0" shapeId="0">
      <text>
        <t>Loan: Paccar, 4 T880 Day Cabs. Principal = MIN(Opening, Payment - Interest)</t>
      </text>
    </comment>
    <comment ref="F30" authorId="0" shapeId="0">
      <text>
        <t>Loan: Paccar, 4 T880 Day Cabs. Closing = Opening - Principal</t>
      </text>
    </comment>
    <comment ref="C31" authorId="0" shapeId="0">
      <text>
        <t>Links to: Prior month closing balance row 30</t>
      </text>
    </comment>
    <comment ref="D31" authorId="0" shapeId="0">
      <text>
        <t>Loan: Paccar, 4 T880 Day Cabs. Interest = Opening * Annual Rate / 12</t>
      </text>
    </comment>
    <comment ref="E31" authorId="0" shapeId="0">
      <text>
        <t>Loan: Paccar, 4 T880 Day Cabs. Principal = MIN(Opening, Payment - Interest)</t>
      </text>
    </comment>
    <comment ref="F31" authorId="0" shapeId="0">
      <text>
        <t>Loan: Paccar, 4 T880 Day Cabs. Closing = Opening - Principal</t>
      </text>
    </comment>
    <comment ref="C32" authorId="0" shapeId="0">
      <text>
        <t>Links to: Prior month closing balance row 31</t>
      </text>
    </comment>
    <comment ref="D32" authorId="0" shapeId="0">
      <text>
        <t>Loan: Paccar, 4 T880 Day Cabs. Interest = Opening * Annual Rate / 12</t>
      </text>
    </comment>
    <comment ref="E32" authorId="0" shapeId="0">
      <text>
        <t>Loan: Paccar, 4 T880 Day Cabs. Principal = MIN(Opening, Payment - Interest)</t>
      </text>
    </comment>
    <comment ref="F32" authorId="0" shapeId="0">
      <text>
        <t>Loan: Paccar, 4 T880 Day Cabs. Closing = Opening - Principal</t>
      </text>
    </comment>
    <comment ref="C33" authorId="0" shapeId="0">
      <text>
        <t>Links to: Prior month closing balance row 32</t>
      </text>
    </comment>
    <comment ref="D33" authorId="0" shapeId="0">
      <text>
        <t>Loan: Paccar, 4 T880 Day Cabs. Interest = Opening * Annual Rate / 12</t>
      </text>
    </comment>
    <comment ref="E33" authorId="0" shapeId="0">
      <text>
        <t>Loan: Paccar, 4 T880 Day Cabs. Principal = MIN(Opening, Payment - Interest)</t>
      </text>
    </comment>
    <comment ref="F33" authorId="0" shapeId="0">
      <text>
        <t>Loan: Paccar, 4 T880 Day Cabs. Closing = Opening - Principal</t>
      </text>
    </comment>
    <comment ref="C34" authorId="0" shapeId="0">
      <text>
        <t>Links to: Prior month closing balance row 33</t>
      </text>
    </comment>
    <comment ref="D34" authorId="0" shapeId="0">
      <text>
        <t>Loan: Paccar, 4 T880 Day Cabs. Interest = Opening * Annual Rate / 12</t>
      </text>
    </comment>
    <comment ref="E34" authorId="0" shapeId="0">
      <text>
        <t>Loan: Paccar, 4 T880 Day Cabs. Principal = MIN(Opening, Payment - Interest)</t>
      </text>
    </comment>
    <comment ref="F34" authorId="0" shapeId="0">
      <text>
        <t>Loan: Paccar, 4 T880 Day Cabs. Closing = Opening - Principal</t>
      </text>
    </comment>
    <comment ref="C35" authorId="0" shapeId="0">
      <text>
        <t>Links to: Prior month closing balance row 34</t>
      </text>
    </comment>
    <comment ref="D35" authorId="0" shapeId="0">
      <text>
        <t>Loan: Paccar, 4 T880 Day Cabs. Interest = Opening * Annual Rate / 12</t>
      </text>
    </comment>
    <comment ref="E35" authorId="0" shapeId="0">
      <text>
        <t>Loan: Paccar, 4 T880 Day Cabs. Principal = MIN(Opening, Payment - Interest)</t>
      </text>
    </comment>
    <comment ref="F35" authorId="0" shapeId="0">
      <text>
        <t>Loan: Paccar, 4 T880 Day Cabs. Closing = Opening - Principal</t>
      </text>
    </comment>
    <comment ref="C36" authorId="0" shapeId="0">
      <text>
        <t>Links to: Prior month closing balance row 35</t>
      </text>
    </comment>
    <comment ref="D36" authorId="0" shapeId="0">
      <text>
        <t>Loan: Paccar, 4 T880 Day Cabs. Interest = Opening * Annual Rate / 12</t>
      </text>
    </comment>
    <comment ref="E36" authorId="0" shapeId="0">
      <text>
        <t>Loan: Paccar, 4 T880 Day Cabs. Principal = MIN(Opening, Payment - Interest)</t>
      </text>
    </comment>
    <comment ref="F36" authorId="0" shapeId="0">
      <text>
        <t>Loan: Paccar, 4 T880 Day Cabs. Closing = Opening - Principal</t>
      </text>
    </comment>
    <comment ref="C37" authorId="0" shapeId="0">
      <text>
        <t>Links to: Prior month closing balance row 36</t>
      </text>
    </comment>
    <comment ref="D37" authorId="0" shapeId="0">
      <text>
        <t>Loan: Paccar, 4 T880 Day Cabs. Interest = Opening * Annual Rate / 12</t>
      </text>
    </comment>
    <comment ref="E37" authorId="0" shapeId="0">
      <text>
        <t>Loan: Paccar, 4 T880 Day Cabs. Principal = MIN(Opening, Payment - Interest)</t>
      </text>
    </comment>
    <comment ref="F37" authorId="0" shapeId="0">
      <text>
        <t>Loan: Paccar, 4 T880 Day Cabs. Closing = Opening - Principal</t>
      </text>
    </comment>
    <comment ref="C38" authorId="0" shapeId="0">
      <text>
        <t>Links to: Prior month closing balance row 37</t>
      </text>
    </comment>
    <comment ref="D38" authorId="0" shapeId="0">
      <text>
        <t>Loan: Paccar, 4 T880 Day Cabs. Interest = Opening * Annual Rate / 12</t>
      </text>
    </comment>
    <comment ref="E38" authorId="0" shapeId="0">
      <text>
        <t>Loan: Paccar, 4 T880 Day Cabs. Principal = MIN(Opening, Payment - Interest)</t>
      </text>
    </comment>
    <comment ref="F38" authorId="0" shapeId="0">
      <text>
        <t>Loan: Paccar, 4 T880 Day Cabs. Closing = Opening - Principal</t>
      </text>
    </comment>
    <comment ref="C39" authorId="0" shapeId="0">
      <text>
        <t>Links to: Prior month closing balance row 38</t>
      </text>
    </comment>
    <comment ref="D39" authorId="0" shapeId="0">
      <text>
        <t>Loan: Paccar, 4 T880 Day Cabs. Interest = Opening * Annual Rate / 12</t>
      </text>
    </comment>
    <comment ref="E39" authorId="0" shapeId="0">
      <text>
        <t>Loan: Paccar, 4 T880 Day Cabs. Principal = MIN(Opening, Payment - Interest)</t>
      </text>
    </comment>
    <comment ref="F39" authorId="0" shapeId="0">
      <text>
        <t>Loan: Paccar, 4 T880 Day Cabs. Closing = Opening - Principal</t>
      </text>
    </comment>
    <comment ref="C40" authorId="0" shapeId="0">
      <text>
        <t>Links to: Prior month closing balance row 39</t>
      </text>
    </comment>
    <comment ref="D40" authorId="0" shapeId="0">
      <text>
        <t>Loan: Paccar, 4 T880 Day Cabs. Interest = Opening * Annual Rate / 12</t>
      </text>
    </comment>
    <comment ref="E40" authorId="0" shapeId="0">
      <text>
        <t>Loan: Paccar, 4 T880 Day Cabs. Principal = MIN(Opening, Payment - Interest)</t>
      </text>
    </comment>
    <comment ref="F40" authorId="0" shapeId="0">
      <text>
        <t>Loan: Paccar, 4 T880 Day Cabs. Closing = Opening - Principal</t>
      </text>
    </comment>
    <comment ref="C45" authorId="0" shapeId="0">
      <text>
        <t>Sum of rows 23-34: Annual opening balance</t>
      </text>
    </comment>
    <comment ref="D45" authorId="0" shapeId="0">
      <text>
        <t>Sum of rows 23-34: Annual interest expense</t>
      </text>
    </comment>
    <comment ref="E45" authorId="0" shapeId="0">
      <text>
        <t>Sum of rows 23-34: Annual principal repayment</t>
      </text>
    </comment>
    <comment ref="F45" authorId="0" shapeId="0">
      <text>
        <t>Sum of rows 23-34: Year-end closing balance</t>
      </text>
    </comment>
    <comment ref="C46" authorId="0" shapeId="0">
      <text>
        <t>Sum of rows 35-40: Annual opening balance</t>
      </text>
    </comment>
    <comment ref="D46" authorId="0" shapeId="0">
      <text>
        <t>Sum of rows 35-40: Annual interest expense</t>
      </text>
    </comment>
    <comment ref="E46" authorId="0" shapeId="0">
      <text>
        <t>Sum of rows 35-40: Annual principal repayment</t>
      </text>
    </comment>
    <comment ref="F46" authorId="0" shapeId="0">
      <text>
        <t>Sum of rows 35-40: Year-end closing balance</t>
      </text>
    </comment>
    <comment ref="B49" authorId="0" shapeId="0">
      <text>
        <t>Links to: Year-end 2026 closing balance for Debt Schedule reference</t>
      </text>
    </comment>
  </commentList>
</comments>
</file>

<file path=xl/comments/comment15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loans.md, Paccar Loan 4
Extracted: 2026-05-14</t>
      </text>
    </comment>
    <comment ref="B6" authorId="0" shapeId="0">
      <text>
        <t>Loan: Paccar, 1 T880 &amp; 1 T680. Source: Meiborg_Debt_Schedule_202512.xlsx
Balance as of 12/31/2025</t>
      </text>
    </comment>
    <comment ref="B7" authorId="0" shapeId="0">
      <text>
        <t>Loan: Paccar, 1 T880 &amp; 1 T680. Source: Meiborg_Debt_Schedule_202512.xlsx</t>
      </text>
    </comment>
    <comment ref="B8" authorId="0" shapeId="0">
      <text>
        <t>Loan: Paccar, 1 T880 &amp; 1 T680. Source: Meiborg_Debt_Schedule_202512.xlsx</t>
      </text>
    </comment>
    <comment ref="C23" authorId="0" shapeId="0">
      <text>
        <t>Links to: Opening Balance input cell B6</t>
      </text>
    </comment>
    <comment ref="D23" authorId="0" shapeId="0">
      <text>
        <t>Loan: Paccar, 1 T880 &amp; 1 T680. Interest = Opening * Annual Rate / 12</t>
      </text>
    </comment>
    <comment ref="E23" authorId="0" shapeId="0">
      <text>
        <t>Loan: Paccar, 1 T880 &amp; 1 T680. Principal = MIN(Opening, Payment - Interest)</t>
      </text>
    </comment>
    <comment ref="F23" authorId="0" shapeId="0">
      <text>
        <t>Loan: Paccar, 1 T880 &amp; 1 T680. Closing = Opening - Principal</t>
      </text>
    </comment>
    <comment ref="C24" authorId="0" shapeId="0">
      <text>
        <t>Links to: Prior month closing balance row 23</t>
      </text>
    </comment>
    <comment ref="D24" authorId="0" shapeId="0">
      <text>
        <t>Loan: Paccar, 1 T880 &amp; 1 T680. Interest = Opening * Annual Rate / 12</t>
      </text>
    </comment>
    <comment ref="E24" authorId="0" shapeId="0">
      <text>
        <t>Loan: Paccar, 1 T880 &amp; 1 T680. Principal = MIN(Opening, Payment - Interest)</t>
      </text>
    </comment>
    <comment ref="F24" authorId="0" shapeId="0">
      <text>
        <t>Loan: Paccar, 1 T880 &amp; 1 T680. Closing = Opening - Principal</t>
      </text>
    </comment>
    <comment ref="C25" authorId="0" shapeId="0">
      <text>
        <t>Links to: Prior month closing balance row 24</t>
      </text>
    </comment>
    <comment ref="D25" authorId="0" shapeId="0">
      <text>
        <t>Loan: Paccar, 1 T880 &amp; 1 T680. Interest = Opening * Annual Rate / 12</t>
      </text>
    </comment>
    <comment ref="E25" authorId="0" shapeId="0">
      <text>
        <t>Loan: Paccar, 1 T880 &amp; 1 T680. Principal = MIN(Opening, Payment - Interest)</t>
      </text>
    </comment>
    <comment ref="F25" authorId="0" shapeId="0">
      <text>
        <t>Loan: Paccar, 1 T880 &amp; 1 T680. Closing = Opening - Principal</t>
      </text>
    </comment>
    <comment ref="C26" authorId="0" shapeId="0">
      <text>
        <t>Links to: Prior month closing balance row 25</t>
      </text>
    </comment>
    <comment ref="D26" authorId="0" shapeId="0">
      <text>
        <t>Loan: Paccar, 1 T880 &amp; 1 T680. Interest = Opening * Annual Rate / 12</t>
      </text>
    </comment>
    <comment ref="E26" authorId="0" shapeId="0">
      <text>
        <t>Loan: Paccar, 1 T880 &amp; 1 T680. Principal = MIN(Opening, Payment - Interest)</t>
      </text>
    </comment>
    <comment ref="F26" authorId="0" shapeId="0">
      <text>
        <t>Loan: Paccar, 1 T880 &amp; 1 T680. Closing = Opening - Principal</t>
      </text>
    </comment>
    <comment ref="C27" authorId="0" shapeId="0">
      <text>
        <t>Links to: Prior month closing balance row 26</t>
      </text>
    </comment>
    <comment ref="D27" authorId="0" shapeId="0">
      <text>
        <t>Loan: Paccar, 1 T880 &amp; 1 T680. Interest = Opening * Annual Rate / 12</t>
      </text>
    </comment>
    <comment ref="E27" authorId="0" shapeId="0">
      <text>
        <t>Loan: Paccar, 1 T880 &amp; 1 T680. Principal = MIN(Opening, Payment - Interest)</t>
      </text>
    </comment>
    <comment ref="F27" authorId="0" shapeId="0">
      <text>
        <t>Loan: Paccar, 1 T880 &amp; 1 T680. Closing = Opening - Principal</t>
      </text>
    </comment>
    <comment ref="C28" authorId="0" shapeId="0">
      <text>
        <t>Links to: Prior month closing balance row 27</t>
      </text>
    </comment>
    <comment ref="D28" authorId="0" shapeId="0">
      <text>
        <t>Loan: Paccar, 1 T880 &amp; 1 T680. Interest = Opening * Annual Rate / 12</t>
      </text>
    </comment>
    <comment ref="E28" authorId="0" shapeId="0">
      <text>
        <t>Loan: Paccar, 1 T880 &amp; 1 T680. Principal = MIN(Opening, Payment - Interest)</t>
      </text>
    </comment>
    <comment ref="F28" authorId="0" shapeId="0">
      <text>
        <t>Loan: Paccar, 1 T880 &amp; 1 T680. Closing = Opening - Principal</t>
      </text>
    </comment>
    <comment ref="C29" authorId="0" shapeId="0">
      <text>
        <t>Links to: Prior month closing balance row 28</t>
      </text>
    </comment>
    <comment ref="D29" authorId="0" shapeId="0">
      <text>
        <t>Loan: Paccar, 1 T880 &amp; 1 T680. Interest = Opening * Annual Rate / 12</t>
      </text>
    </comment>
    <comment ref="E29" authorId="0" shapeId="0">
      <text>
        <t>Loan: Paccar, 1 T880 &amp; 1 T680. Principal = MIN(Opening, Payment - Interest)</t>
      </text>
    </comment>
    <comment ref="F29" authorId="0" shapeId="0">
      <text>
        <t>Loan: Paccar, 1 T880 &amp; 1 T680. Closing = Opening - Principal</t>
      </text>
    </comment>
    <comment ref="C30" authorId="0" shapeId="0">
      <text>
        <t>Links to: Prior month closing balance row 29</t>
      </text>
    </comment>
    <comment ref="D30" authorId="0" shapeId="0">
      <text>
        <t>Loan: Paccar, 1 T880 &amp; 1 T680. Interest = Opening * Annual Rate / 12</t>
      </text>
    </comment>
    <comment ref="E30" authorId="0" shapeId="0">
      <text>
        <t>Loan: Paccar, 1 T880 &amp; 1 T680. Principal = MIN(Opening, Payment - Interest)</t>
      </text>
    </comment>
    <comment ref="F30" authorId="0" shapeId="0">
      <text>
        <t>Loan: Paccar, 1 T880 &amp; 1 T680. Closing = Opening - Principal</t>
      </text>
    </comment>
    <comment ref="C31" authorId="0" shapeId="0">
      <text>
        <t>Links to: Prior month closing balance row 30</t>
      </text>
    </comment>
    <comment ref="D31" authorId="0" shapeId="0">
      <text>
        <t>Loan: Paccar, 1 T880 &amp; 1 T680. Interest = Opening * Annual Rate / 12</t>
      </text>
    </comment>
    <comment ref="E31" authorId="0" shapeId="0">
      <text>
        <t>Loan: Paccar, 1 T880 &amp; 1 T680. Principal = MIN(Opening, Payment - Interest)</t>
      </text>
    </comment>
    <comment ref="F31" authorId="0" shapeId="0">
      <text>
        <t>Loan: Paccar, 1 T880 &amp; 1 T680. Closing = Opening - Principal</t>
      </text>
    </comment>
    <comment ref="C32" authorId="0" shapeId="0">
      <text>
        <t>Links to: Prior month closing balance row 31</t>
      </text>
    </comment>
    <comment ref="D32" authorId="0" shapeId="0">
      <text>
        <t>Loan: Paccar, 1 T880 &amp; 1 T680. Interest = Opening * Annual Rate / 12</t>
      </text>
    </comment>
    <comment ref="E32" authorId="0" shapeId="0">
      <text>
        <t>Loan: Paccar, 1 T880 &amp; 1 T680. Principal = MIN(Opening, Payment - Interest)</t>
      </text>
    </comment>
    <comment ref="F32" authorId="0" shapeId="0">
      <text>
        <t>Loan: Paccar, 1 T880 &amp; 1 T680. Closing = Opening - Principal</t>
      </text>
    </comment>
    <comment ref="C33" authorId="0" shapeId="0">
      <text>
        <t>Links to: Prior month closing balance row 32</t>
      </text>
    </comment>
    <comment ref="D33" authorId="0" shapeId="0">
      <text>
        <t>Loan: Paccar, 1 T880 &amp; 1 T680. Interest = Opening * Annual Rate / 12</t>
      </text>
    </comment>
    <comment ref="E33" authorId="0" shapeId="0">
      <text>
        <t>Loan: Paccar, 1 T880 &amp; 1 T680. Principal = MIN(Opening, Payment - Interest)</t>
      </text>
    </comment>
    <comment ref="F33" authorId="0" shapeId="0">
      <text>
        <t>Loan: Paccar, 1 T880 &amp; 1 T680. Closing = Opening - Principal</t>
      </text>
    </comment>
    <comment ref="C34" authorId="0" shapeId="0">
      <text>
        <t>Links to: Prior month closing balance row 33</t>
      </text>
    </comment>
    <comment ref="D34" authorId="0" shapeId="0">
      <text>
        <t>Loan: Paccar, 1 T880 &amp; 1 T680. Interest = Opening * Annual Rate / 12</t>
      </text>
    </comment>
    <comment ref="E34" authorId="0" shapeId="0">
      <text>
        <t>Loan: Paccar, 1 T880 &amp; 1 T680. Principal = MIN(Opening, Payment - Interest)</t>
      </text>
    </comment>
    <comment ref="F34" authorId="0" shapeId="0">
      <text>
        <t>Loan: Paccar, 1 T880 &amp; 1 T680. Closing = Opening - Principal</t>
      </text>
    </comment>
    <comment ref="C35" authorId="0" shapeId="0">
      <text>
        <t>Links to: Prior month closing balance row 34</t>
      </text>
    </comment>
    <comment ref="D35" authorId="0" shapeId="0">
      <text>
        <t>Loan: Paccar, 1 T880 &amp; 1 T680. Interest = Opening * Annual Rate / 12</t>
      </text>
    </comment>
    <comment ref="E35" authorId="0" shapeId="0">
      <text>
        <t>Loan: Paccar, 1 T880 &amp; 1 T680. Principal = MIN(Opening, Payment - Interest)</t>
      </text>
    </comment>
    <comment ref="F35" authorId="0" shapeId="0">
      <text>
        <t>Loan: Paccar, 1 T880 &amp; 1 T680. Closing = Opening - Principal</t>
      </text>
    </comment>
    <comment ref="C36" authorId="0" shapeId="0">
      <text>
        <t>Links to: Prior month closing balance row 35</t>
      </text>
    </comment>
    <comment ref="D36" authorId="0" shapeId="0">
      <text>
        <t>Loan: Paccar, 1 T880 &amp; 1 T680. Interest = Opening * Annual Rate / 12</t>
      </text>
    </comment>
    <comment ref="E36" authorId="0" shapeId="0">
      <text>
        <t>Loan: Paccar, 1 T880 &amp; 1 T680. Principal = MIN(Opening, Payment - Interest)</t>
      </text>
    </comment>
    <comment ref="F36" authorId="0" shapeId="0">
      <text>
        <t>Loan: Paccar, 1 T880 &amp; 1 T680. Closing = Opening - Principal</t>
      </text>
    </comment>
    <comment ref="C37" authorId="0" shapeId="0">
      <text>
        <t>Links to: Prior month closing balance row 36</t>
      </text>
    </comment>
    <comment ref="D37" authorId="0" shapeId="0">
      <text>
        <t>Loan: Paccar, 1 T880 &amp; 1 T680. Interest = Opening * Annual Rate / 12</t>
      </text>
    </comment>
    <comment ref="E37" authorId="0" shapeId="0">
      <text>
        <t>Loan: Paccar, 1 T880 &amp; 1 T680. Principal = MIN(Opening, Payment - Interest)</t>
      </text>
    </comment>
    <comment ref="F37" authorId="0" shapeId="0">
      <text>
        <t>Loan: Paccar, 1 T880 &amp; 1 T680. Closing = Opening - Principal</t>
      </text>
    </comment>
    <comment ref="C38" authorId="0" shapeId="0">
      <text>
        <t>Links to: Prior month closing balance row 37</t>
      </text>
    </comment>
    <comment ref="D38" authorId="0" shapeId="0">
      <text>
        <t>Loan: Paccar, 1 T880 &amp; 1 T680. Interest = Opening * Annual Rate / 12</t>
      </text>
    </comment>
    <comment ref="E38" authorId="0" shapeId="0">
      <text>
        <t>Loan: Paccar, 1 T880 &amp; 1 T680. Principal = MIN(Opening, Payment - Interest)</t>
      </text>
    </comment>
    <comment ref="F38" authorId="0" shapeId="0">
      <text>
        <t>Loan: Paccar, 1 T880 &amp; 1 T680. Closing = Opening - Principal</t>
      </text>
    </comment>
    <comment ref="C39" authorId="0" shapeId="0">
      <text>
        <t>Links to: Prior month closing balance row 38</t>
      </text>
    </comment>
    <comment ref="D39" authorId="0" shapeId="0">
      <text>
        <t>Loan: Paccar, 1 T880 &amp; 1 T680. Interest = Opening * Annual Rate / 12</t>
      </text>
    </comment>
    <comment ref="E39" authorId="0" shapeId="0">
      <text>
        <t>Loan: Paccar, 1 T880 &amp; 1 T680. Principal = MIN(Opening, Payment - Interest)</t>
      </text>
    </comment>
    <comment ref="F39" authorId="0" shapeId="0">
      <text>
        <t>Loan: Paccar, 1 T880 &amp; 1 T680. Closing = Opening - Principal</t>
      </text>
    </comment>
    <comment ref="C40" authorId="0" shapeId="0">
      <text>
        <t>Links to: Prior month closing balance row 39</t>
      </text>
    </comment>
    <comment ref="D40" authorId="0" shapeId="0">
      <text>
        <t>Loan: Paccar, 1 T880 &amp; 1 T680. Interest = Opening * Annual Rate / 12</t>
      </text>
    </comment>
    <comment ref="E40" authorId="0" shapeId="0">
      <text>
        <t>Loan: Paccar, 1 T880 &amp; 1 T680. Principal = MIN(Opening, Payment - Interest)</t>
      </text>
    </comment>
    <comment ref="F40" authorId="0" shapeId="0">
      <text>
        <t>Loan: Paccar, 1 T880 &amp; 1 T680. Closing = Opening - Principal</t>
      </text>
    </comment>
    <comment ref="C41" authorId="0" shapeId="0">
      <text>
        <t>Links to: Prior month closing balance row 40</t>
      </text>
    </comment>
    <comment ref="D41" authorId="0" shapeId="0">
      <text>
        <t>Loan: Paccar, 1 T880 &amp; 1 T680. Interest = Opening * Annual Rate / 12</t>
      </text>
    </comment>
    <comment ref="E41" authorId="0" shapeId="0">
      <text>
        <t>Loan: Paccar, 1 T880 &amp; 1 T680. Principal = MIN(Opening, Payment - Interest)</t>
      </text>
    </comment>
    <comment ref="F41" authorId="0" shapeId="0">
      <text>
        <t>Loan: Paccar, 1 T880 &amp; 1 T680. Closing = Opening - Principal</t>
      </text>
    </comment>
    <comment ref="C46" authorId="0" shapeId="0">
      <text>
        <t>Sum of rows 23-34: Annual opening balance</t>
      </text>
    </comment>
    <comment ref="D46" authorId="0" shapeId="0">
      <text>
        <t>Sum of rows 23-34: Annual interest expense</t>
      </text>
    </comment>
    <comment ref="E46" authorId="0" shapeId="0">
      <text>
        <t>Sum of rows 23-34: Annual principal repayment</t>
      </text>
    </comment>
    <comment ref="F46" authorId="0" shapeId="0">
      <text>
        <t>Sum of rows 23-34: Year-end closing balance</t>
      </text>
    </comment>
    <comment ref="C47" authorId="0" shapeId="0">
      <text>
        <t>Sum of rows 35-41: Annual opening balance</t>
      </text>
    </comment>
    <comment ref="D47" authorId="0" shapeId="0">
      <text>
        <t>Sum of rows 35-41: Annual interest expense</t>
      </text>
    </comment>
    <comment ref="E47" authorId="0" shapeId="0">
      <text>
        <t>Sum of rows 35-41: Annual principal repayment</t>
      </text>
    </comment>
    <comment ref="F47" authorId="0" shapeId="0">
      <text>
        <t>Sum of rows 35-41: Year-end closing balance</t>
      </text>
    </comment>
    <comment ref="B50" authorId="0" shapeId="0">
      <text>
        <t>Links to: Year-end 2026 closing balance for Debt Schedule reference</t>
      </text>
    </comment>
  </commentList>
</comments>
</file>

<file path=xl/comments/comment16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loans.md, Paccar Loan 5
Extracted: 2026-05-14</t>
      </text>
    </comment>
    <comment ref="B6" authorId="0" shapeId="0">
      <text>
        <t>Loan: Paccar, 1 T680. Source: Meiborg_Debt_Schedule_202512.xlsx
Balance as of 12/31/2025</t>
      </text>
    </comment>
    <comment ref="B7" authorId="0" shapeId="0">
      <text>
        <t>Loan: Paccar, 1 T680. Source: Meiborg_Debt_Schedule_202512.xlsx</t>
      </text>
    </comment>
    <comment ref="B8" authorId="0" shapeId="0">
      <text>
        <t>Loan: Paccar, 1 T680. Source: Meiborg_Debt_Schedule_202512.xlsx</t>
      </text>
    </comment>
    <comment ref="C23" authorId="0" shapeId="0">
      <text>
        <t>Links to: Opening Balance input cell B6</t>
      </text>
    </comment>
    <comment ref="D23" authorId="0" shapeId="0">
      <text>
        <t>Loan: Paccar, 1 T680. Interest = Opening * Annual Rate / 12</t>
      </text>
    </comment>
    <comment ref="E23" authorId="0" shapeId="0">
      <text>
        <t>Loan: Paccar, 1 T680. Principal = MIN(Opening, Payment - Interest)</t>
      </text>
    </comment>
    <comment ref="F23" authorId="0" shapeId="0">
      <text>
        <t>Loan: Paccar, 1 T680. Closing = Opening - Principal</t>
      </text>
    </comment>
    <comment ref="C24" authorId="0" shapeId="0">
      <text>
        <t>Links to: Prior month closing balance row 23</t>
      </text>
    </comment>
    <comment ref="D24" authorId="0" shapeId="0">
      <text>
        <t>Loan: Paccar, 1 T680. Interest = Opening * Annual Rate / 12</t>
      </text>
    </comment>
    <comment ref="E24" authorId="0" shapeId="0">
      <text>
        <t>Loan: Paccar, 1 T680. Principal = MIN(Opening, Payment - Interest)</t>
      </text>
    </comment>
    <comment ref="F24" authorId="0" shapeId="0">
      <text>
        <t>Loan: Paccar, 1 T680. Closing = Opening - Principal</t>
      </text>
    </comment>
    <comment ref="C25" authorId="0" shapeId="0">
      <text>
        <t>Links to: Prior month closing balance row 24</t>
      </text>
    </comment>
    <comment ref="D25" authorId="0" shapeId="0">
      <text>
        <t>Loan: Paccar, 1 T680. Interest = Opening * Annual Rate / 12</t>
      </text>
    </comment>
    <comment ref="E25" authorId="0" shapeId="0">
      <text>
        <t>Loan: Paccar, 1 T680. Principal = MIN(Opening, Payment - Interest)</t>
      </text>
    </comment>
    <comment ref="F25" authorId="0" shapeId="0">
      <text>
        <t>Loan: Paccar, 1 T680. Closing = Opening - Principal</t>
      </text>
    </comment>
    <comment ref="C26" authorId="0" shapeId="0">
      <text>
        <t>Links to: Prior month closing balance row 25</t>
      </text>
    </comment>
    <comment ref="D26" authorId="0" shapeId="0">
      <text>
        <t>Loan: Paccar, 1 T680. Interest = Opening * Annual Rate / 12</t>
      </text>
    </comment>
    <comment ref="E26" authorId="0" shapeId="0">
      <text>
        <t>Loan: Paccar, 1 T680. Principal = MIN(Opening, Payment - Interest)</t>
      </text>
    </comment>
    <comment ref="F26" authorId="0" shapeId="0">
      <text>
        <t>Loan: Paccar, 1 T680. Closing = Opening - Principal</t>
      </text>
    </comment>
    <comment ref="C27" authorId="0" shapeId="0">
      <text>
        <t>Links to: Prior month closing balance row 26</t>
      </text>
    </comment>
    <comment ref="D27" authorId="0" shapeId="0">
      <text>
        <t>Loan: Paccar, 1 T680. Interest = Opening * Annual Rate / 12</t>
      </text>
    </comment>
    <comment ref="E27" authorId="0" shapeId="0">
      <text>
        <t>Loan: Paccar, 1 T680. Principal = MIN(Opening, Payment - Interest)</t>
      </text>
    </comment>
    <comment ref="F27" authorId="0" shapeId="0">
      <text>
        <t>Loan: Paccar, 1 T680. Closing = Opening - Principal</t>
      </text>
    </comment>
    <comment ref="C28" authorId="0" shapeId="0">
      <text>
        <t>Links to: Prior month closing balance row 27</t>
      </text>
    </comment>
    <comment ref="D28" authorId="0" shapeId="0">
      <text>
        <t>Loan: Paccar, 1 T680. Interest = Opening * Annual Rate / 12</t>
      </text>
    </comment>
    <comment ref="E28" authorId="0" shapeId="0">
      <text>
        <t>Loan: Paccar, 1 T680. Principal = MIN(Opening, Payment - Interest)</t>
      </text>
    </comment>
    <comment ref="F28" authorId="0" shapeId="0">
      <text>
        <t>Loan: Paccar, 1 T680. Closing = Opening - Principal</t>
      </text>
    </comment>
    <comment ref="C29" authorId="0" shapeId="0">
      <text>
        <t>Links to: Prior month closing balance row 28</t>
      </text>
    </comment>
    <comment ref="D29" authorId="0" shapeId="0">
      <text>
        <t>Loan: Paccar, 1 T680. Interest = Opening * Annual Rate / 12</t>
      </text>
    </comment>
    <comment ref="E29" authorId="0" shapeId="0">
      <text>
        <t>Loan: Paccar, 1 T680. Principal = MIN(Opening, Payment - Interest)</t>
      </text>
    </comment>
    <comment ref="F29" authorId="0" shapeId="0">
      <text>
        <t>Loan: Paccar, 1 T680. Closing = Opening - Principal</t>
      </text>
    </comment>
    <comment ref="C30" authorId="0" shapeId="0">
      <text>
        <t>Links to: Prior month closing balance row 29</t>
      </text>
    </comment>
    <comment ref="D30" authorId="0" shapeId="0">
      <text>
        <t>Loan: Paccar, 1 T680. Interest = Opening * Annual Rate / 12</t>
      </text>
    </comment>
    <comment ref="E30" authorId="0" shapeId="0">
      <text>
        <t>Loan: Paccar, 1 T680. Principal = MIN(Opening, Payment - Interest)</t>
      </text>
    </comment>
    <comment ref="F30" authorId="0" shapeId="0">
      <text>
        <t>Loan: Paccar, 1 T680. Closing = Opening - Principal</t>
      </text>
    </comment>
    <comment ref="C31" authorId="0" shapeId="0">
      <text>
        <t>Links to: Prior month closing balance row 30</t>
      </text>
    </comment>
    <comment ref="D31" authorId="0" shapeId="0">
      <text>
        <t>Loan: Paccar, 1 T680. Interest = Opening * Annual Rate / 12</t>
      </text>
    </comment>
    <comment ref="E31" authorId="0" shapeId="0">
      <text>
        <t>Loan: Paccar, 1 T680. Principal = MIN(Opening, Payment - Interest)</t>
      </text>
    </comment>
    <comment ref="F31" authorId="0" shapeId="0">
      <text>
        <t>Loan: Paccar, 1 T680. Closing = Opening - Principal</t>
      </text>
    </comment>
    <comment ref="C32" authorId="0" shapeId="0">
      <text>
        <t>Links to: Prior month closing balance row 31</t>
      </text>
    </comment>
    <comment ref="D32" authorId="0" shapeId="0">
      <text>
        <t>Loan: Paccar, 1 T680. Interest = Opening * Annual Rate / 12</t>
      </text>
    </comment>
    <comment ref="E32" authorId="0" shapeId="0">
      <text>
        <t>Loan: Paccar, 1 T680. Principal = MIN(Opening, Payment - Interest)</t>
      </text>
    </comment>
    <comment ref="F32" authorId="0" shapeId="0">
      <text>
        <t>Loan: Paccar, 1 T680. Closing = Opening - Principal</t>
      </text>
    </comment>
    <comment ref="C33" authorId="0" shapeId="0">
      <text>
        <t>Links to: Prior month closing balance row 32</t>
      </text>
    </comment>
    <comment ref="D33" authorId="0" shapeId="0">
      <text>
        <t>Loan: Paccar, 1 T680. Interest = Opening * Annual Rate / 12</t>
      </text>
    </comment>
    <comment ref="E33" authorId="0" shapeId="0">
      <text>
        <t>Loan: Paccar, 1 T680. Principal = MIN(Opening, Payment - Interest)</t>
      </text>
    </comment>
    <comment ref="F33" authorId="0" shapeId="0">
      <text>
        <t>Loan: Paccar, 1 T680. Closing = Opening - Principal</t>
      </text>
    </comment>
    <comment ref="C34" authorId="0" shapeId="0">
      <text>
        <t>Links to: Prior month closing balance row 33</t>
      </text>
    </comment>
    <comment ref="D34" authorId="0" shapeId="0">
      <text>
        <t>Loan: Paccar, 1 T680. Interest = Opening * Annual Rate / 12</t>
      </text>
    </comment>
    <comment ref="E34" authorId="0" shapeId="0">
      <text>
        <t>Loan: Paccar, 1 T680. Principal = MIN(Opening, Payment - Interest)</t>
      </text>
    </comment>
    <comment ref="F34" authorId="0" shapeId="0">
      <text>
        <t>Loan: Paccar, 1 T680. Closing = Opening - Principal</t>
      </text>
    </comment>
    <comment ref="C35" authorId="0" shapeId="0">
      <text>
        <t>Links to: Prior month closing balance row 34</t>
      </text>
    </comment>
    <comment ref="D35" authorId="0" shapeId="0">
      <text>
        <t>Loan: Paccar, 1 T680. Interest = Opening * Annual Rate / 12</t>
      </text>
    </comment>
    <comment ref="E35" authorId="0" shapeId="0">
      <text>
        <t>Loan: Paccar, 1 T680. Principal = MIN(Opening, Payment - Interest)</t>
      </text>
    </comment>
    <comment ref="F35" authorId="0" shapeId="0">
      <text>
        <t>Loan: Paccar, 1 T680. Closing = Opening - Principal</t>
      </text>
    </comment>
    <comment ref="C36" authorId="0" shapeId="0">
      <text>
        <t>Links to: Prior month closing balance row 35</t>
      </text>
    </comment>
    <comment ref="D36" authorId="0" shapeId="0">
      <text>
        <t>Loan: Paccar, 1 T680. Interest = Opening * Annual Rate / 12</t>
      </text>
    </comment>
    <comment ref="E36" authorId="0" shapeId="0">
      <text>
        <t>Loan: Paccar, 1 T680. Principal = MIN(Opening, Payment - Interest)</t>
      </text>
    </comment>
    <comment ref="F36" authorId="0" shapeId="0">
      <text>
        <t>Loan: Paccar, 1 T680. Closing = Opening - Principal</t>
      </text>
    </comment>
    <comment ref="C37" authorId="0" shapeId="0">
      <text>
        <t>Links to: Prior month closing balance row 36</t>
      </text>
    </comment>
    <comment ref="D37" authorId="0" shapeId="0">
      <text>
        <t>Loan: Paccar, 1 T680. Interest = Opening * Annual Rate / 12</t>
      </text>
    </comment>
    <comment ref="E37" authorId="0" shapeId="0">
      <text>
        <t>Loan: Paccar, 1 T680. Principal = MIN(Opening, Payment - Interest)</t>
      </text>
    </comment>
    <comment ref="F37" authorId="0" shapeId="0">
      <text>
        <t>Loan: Paccar, 1 T680. Closing = Opening - Principal</t>
      </text>
    </comment>
    <comment ref="C38" authorId="0" shapeId="0">
      <text>
        <t>Links to: Prior month closing balance row 37</t>
      </text>
    </comment>
    <comment ref="D38" authorId="0" shapeId="0">
      <text>
        <t>Loan: Paccar, 1 T680. Interest = Opening * Annual Rate / 12</t>
      </text>
    </comment>
    <comment ref="E38" authorId="0" shapeId="0">
      <text>
        <t>Loan: Paccar, 1 T680. Principal = MIN(Opening, Payment - Interest)</t>
      </text>
    </comment>
    <comment ref="F38" authorId="0" shapeId="0">
      <text>
        <t>Loan: Paccar, 1 T680. Closing = Opening - Principal</t>
      </text>
    </comment>
    <comment ref="C39" authorId="0" shapeId="0">
      <text>
        <t>Links to: Prior month closing balance row 38</t>
      </text>
    </comment>
    <comment ref="D39" authorId="0" shapeId="0">
      <text>
        <t>Loan: Paccar, 1 T680. Interest = Opening * Annual Rate / 12</t>
      </text>
    </comment>
    <comment ref="E39" authorId="0" shapeId="0">
      <text>
        <t>Loan: Paccar, 1 T680. Principal = MIN(Opening, Payment - Interest)</t>
      </text>
    </comment>
    <comment ref="F39" authorId="0" shapeId="0">
      <text>
        <t>Loan: Paccar, 1 T680. Closing = Opening - Principal</t>
      </text>
    </comment>
    <comment ref="C40" authorId="0" shapeId="0">
      <text>
        <t>Links to: Prior month closing balance row 39</t>
      </text>
    </comment>
    <comment ref="D40" authorId="0" shapeId="0">
      <text>
        <t>Loan: Paccar, 1 T680. Interest = Opening * Annual Rate / 12</t>
      </text>
    </comment>
    <comment ref="E40" authorId="0" shapeId="0">
      <text>
        <t>Loan: Paccar, 1 T680. Principal = MIN(Opening, Payment - Interest)</t>
      </text>
    </comment>
    <comment ref="F40" authorId="0" shapeId="0">
      <text>
        <t>Loan: Paccar, 1 T680. Closing = Opening - Principal</t>
      </text>
    </comment>
    <comment ref="C41" authorId="0" shapeId="0">
      <text>
        <t>Links to: Prior month closing balance row 40</t>
      </text>
    </comment>
    <comment ref="D41" authorId="0" shapeId="0">
      <text>
        <t>Loan: Paccar, 1 T680. Interest = Opening * Annual Rate / 12</t>
      </text>
    </comment>
    <comment ref="E41" authorId="0" shapeId="0">
      <text>
        <t>Loan: Paccar, 1 T680. Principal = MIN(Opening, Payment - Interest)</t>
      </text>
    </comment>
    <comment ref="F41" authorId="0" shapeId="0">
      <text>
        <t>Loan: Paccar, 1 T680. Closing = Opening - Principal</t>
      </text>
    </comment>
    <comment ref="C42" authorId="0" shapeId="0">
      <text>
        <t>Links to: Prior month closing balance row 41</t>
      </text>
    </comment>
    <comment ref="D42" authorId="0" shapeId="0">
      <text>
        <t>Loan: Paccar, 1 T680. Interest = Opening * Annual Rate / 12</t>
      </text>
    </comment>
    <comment ref="E42" authorId="0" shapeId="0">
      <text>
        <t>Loan: Paccar, 1 T680. Principal = MIN(Opening, Payment - Interest)</t>
      </text>
    </comment>
    <comment ref="F42" authorId="0" shapeId="0">
      <text>
        <t>Loan: Paccar, 1 T680. Closing = Opening - Principal</t>
      </text>
    </comment>
    <comment ref="C47" authorId="0" shapeId="0">
      <text>
        <t>Sum of rows 23-34: Annual opening balance</t>
      </text>
    </comment>
    <comment ref="D47" authorId="0" shapeId="0">
      <text>
        <t>Sum of rows 23-34: Annual interest expense</t>
      </text>
    </comment>
    <comment ref="E47" authorId="0" shapeId="0">
      <text>
        <t>Sum of rows 23-34: Annual principal repayment</t>
      </text>
    </comment>
    <comment ref="F47" authorId="0" shapeId="0">
      <text>
        <t>Sum of rows 23-34: Year-end closing balance</t>
      </text>
    </comment>
    <comment ref="C48" authorId="0" shapeId="0">
      <text>
        <t>Sum of rows 35-42: Annual opening balance</t>
      </text>
    </comment>
    <comment ref="D48" authorId="0" shapeId="0">
      <text>
        <t>Sum of rows 35-42: Annual interest expense</t>
      </text>
    </comment>
    <comment ref="E48" authorId="0" shapeId="0">
      <text>
        <t>Sum of rows 35-42: Annual principal repayment</t>
      </text>
    </comment>
    <comment ref="F48" authorId="0" shapeId="0">
      <text>
        <t>Sum of rows 35-42: Year-end closing balance</t>
      </text>
    </comment>
    <comment ref="B51" authorId="0" shapeId="0">
      <text>
        <t>Links to: Year-end 2026 closing balance for Debt Schedule reference</t>
      </text>
    </comment>
  </commentList>
</comments>
</file>

<file path=xl/comments/comment17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loans.md, Paccar Loan 6
Extracted: 2026-05-14</t>
      </text>
    </comment>
    <comment ref="B6" authorId="0" shapeId="0">
      <text>
        <t>Loan: Paccar, 3 T680. Source: Meiborg_Debt_Schedule_202512.xlsx
Balance as of 12/31/2025</t>
      </text>
    </comment>
    <comment ref="B7" authorId="0" shapeId="0">
      <text>
        <t>Loan: Paccar, 3 T680. Source: Meiborg_Debt_Schedule_202512.xlsx</t>
      </text>
    </comment>
    <comment ref="B8" authorId="0" shapeId="0">
      <text>
        <t>Loan: Paccar, 3 T680. Source: Meiborg_Debt_Schedule_202512.xlsx</t>
      </text>
    </comment>
    <comment ref="C23" authorId="0" shapeId="0">
      <text>
        <t>Links to: Opening Balance input cell B6</t>
      </text>
    </comment>
    <comment ref="D23" authorId="0" shapeId="0">
      <text>
        <t>Loan: Paccar, 3 T680. Interest = Opening * Annual Rate / 12</t>
      </text>
    </comment>
    <comment ref="E23" authorId="0" shapeId="0">
      <text>
        <t>Loan: Paccar, 3 T680. Principal = MIN(Opening, Payment - Interest)</t>
      </text>
    </comment>
    <comment ref="F23" authorId="0" shapeId="0">
      <text>
        <t>Loan: Paccar, 3 T680. Closing = Opening - Principal</t>
      </text>
    </comment>
    <comment ref="C24" authorId="0" shapeId="0">
      <text>
        <t>Links to: Prior month closing balance row 23</t>
      </text>
    </comment>
    <comment ref="D24" authorId="0" shapeId="0">
      <text>
        <t>Loan: Paccar, 3 T680. Interest = Opening * Annual Rate / 12</t>
      </text>
    </comment>
    <comment ref="E24" authorId="0" shapeId="0">
      <text>
        <t>Loan: Paccar, 3 T680. Principal = MIN(Opening, Payment - Interest)</t>
      </text>
    </comment>
    <comment ref="F24" authorId="0" shapeId="0">
      <text>
        <t>Loan: Paccar, 3 T680. Closing = Opening - Principal</t>
      </text>
    </comment>
    <comment ref="C25" authorId="0" shapeId="0">
      <text>
        <t>Links to: Prior month closing balance row 24</t>
      </text>
    </comment>
    <comment ref="D25" authorId="0" shapeId="0">
      <text>
        <t>Loan: Paccar, 3 T680. Interest = Opening * Annual Rate / 12</t>
      </text>
    </comment>
    <comment ref="E25" authorId="0" shapeId="0">
      <text>
        <t>Loan: Paccar, 3 T680. Principal = MIN(Opening, Payment - Interest)</t>
      </text>
    </comment>
    <comment ref="F25" authorId="0" shapeId="0">
      <text>
        <t>Loan: Paccar, 3 T680. Closing = Opening - Principal</t>
      </text>
    </comment>
    <comment ref="C26" authorId="0" shapeId="0">
      <text>
        <t>Links to: Prior month closing balance row 25</t>
      </text>
    </comment>
    <comment ref="D26" authorId="0" shapeId="0">
      <text>
        <t>Loan: Paccar, 3 T680. Interest = Opening * Annual Rate / 12</t>
      </text>
    </comment>
    <comment ref="E26" authorId="0" shapeId="0">
      <text>
        <t>Loan: Paccar, 3 T680. Principal = MIN(Opening, Payment - Interest)</t>
      </text>
    </comment>
    <comment ref="F26" authorId="0" shapeId="0">
      <text>
        <t>Loan: Paccar, 3 T680. Closing = Opening - Principal</t>
      </text>
    </comment>
    <comment ref="C27" authorId="0" shapeId="0">
      <text>
        <t>Links to: Prior month closing balance row 26</t>
      </text>
    </comment>
    <comment ref="D27" authorId="0" shapeId="0">
      <text>
        <t>Loan: Paccar, 3 T680. Interest = Opening * Annual Rate / 12</t>
      </text>
    </comment>
    <comment ref="E27" authorId="0" shapeId="0">
      <text>
        <t>Loan: Paccar, 3 T680. Principal = MIN(Opening, Payment - Interest)</t>
      </text>
    </comment>
    <comment ref="F27" authorId="0" shapeId="0">
      <text>
        <t>Loan: Paccar, 3 T680. Closing = Opening - Principal</t>
      </text>
    </comment>
    <comment ref="C28" authorId="0" shapeId="0">
      <text>
        <t>Links to: Prior month closing balance row 27</t>
      </text>
    </comment>
    <comment ref="D28" authorId="0" shapeId="0">
      <text>
        <t>Loan: Paccar, 3 T680. Interest = Opening * Annual Rate / 12</t>
      </text>
    </comment>
    <comment ref="E28" authorId="0" shapeId="0">
      <text>
        <t>Loan: Paccar, 3 T680. Principal = MIN(Opening, Payment - Interest)</t>
      </text>
    </comment>
    <comment ref="F28" authorId="0" shapeId="0">
      <text>
        <t>Loan: Paccar, 3 T680. Closing = Opening - Principal</t>
      </text>
    </comment>
    <comment ref="C29" authorId="0" shapeId="0">
      <text>
        <t>Links to: Prior month closing balance row 28</t>
      </text>
    </comment>
    <comment ref="D29" authorId="0" shapeId="0">
      <text>
        <t>Loan: Paccar, 3 T680. Interest = Opening * Annual Rate / 12</t>
      </text>
    </comment>
    <comment ref="E29" authorId="0" shapeId="0">
      <text>
        <t>Loan: Paccar, 3 T680. Principal = MIN(Opening, Payment - Interest)</t>
      </text>
    </comment>
    <comment ref="F29" authorId="0" shapeId="0">
      <text>
        <t>Loan: Paccar, 3 T680. Closing = Opening - Principal</t>
      </text>
    </comment>
    <comment ref="C30" authorId="0" shapeId="0">
      <text>
        <t>Links to: Prior month closing balance row 29</t>
      </text>
    </comment>
    <comment ref="D30" authorId="0" shapeId="0">
      <text>
        <t>Loan: Paccar, 3 T680. Interest = Opening * Annual Rate / 12</t>
      </text>
    </comment>
    <comment ref="E30" authorId="0" shapeId="0">
      <text>
        <t>Loan: Paccar, 3 T680. Principal = MIN(Opening, Payment - Interest)</t>
      </text>
    </comment>
    <comment ref="F30" authorId="0" shapeId="0">
      <text>
        <t>Loan: Paccar, 3 T680. Closing = Opening - Principal</t>
      </text>
    </comment>
    <comment ref="C31" authorId="0" shapeId="0">
      <text>
        <t>Links to: Prior month closing balance row 30</t>
      </text>
    </comment>
    <comment ref="D31" authorId="0" shapeId="0">
      <text>
        <t>Loan: Paccar, 3 T680. Interest = Opening * Annual Rate / 12</t>
      </text>
    </comment>
    <comment ref="E31" authorId="0" shapeId="0">
      <text>
        <t>Loan: Paccar, 3 T680. Principal = MIN(Opening, Payment - Interest)</t>
      </text>
    </comment>
    <comment ref="F31" authorId="0" shapeId="0">
      <text>
        <t>Loan: Paccar, 3 T680. Closing = Opening - Principal</t>
      </text>
    </comment>
    <comment ref="C32" authorId="0" shapeId="0">
      <text>
        <t>Links to: Prior month closing balance row 31</t>
      </text>
    </comment>
    <comment ref="D32" authorId="0" shapeId="0">
      <text>
        <t>Loan: Paccar, 3 T680. Interest = Opening * Annual Rate / 12</t>
      </text>
    </comment>
    <comment ref="E32" authorId="0" shapeId="0">
      <text>
        <t>Loan: Paccar, 3 T680. Principal = MIN(Opening, Payment - Interest)</t>
      </text>
    </comment>
    <comment ref="F32" authorId="0" shapeId="0">
      <text>
        <t>Loan: Paccar, 3 T680. Closing = Opening - Principal</t>
      </text>
    </comment>
    <comment ref="C33" authorId="0" shapeId="0">
      <text>
        <t>Links to: Prior month closing balance row 32</t>
      </text>
    </comment>
    <comment ref="D33" authorId="0" shapeId="0">
      <text>
        <t>Loan: Paccar, 3 T680. Interest = Opening * Annual Rate / 12</t>
      </text>
    </comment>
    <comment ref="E33" authorId="0" shapeId="0">
      <text>
        <t>Loan: Paccar, 3 T680. Principal = MIN(Opening, Payment - Interest)</t>
      </text>
    </comment>
    <comment ref="F33" authorId="0" shapeId="0">
      <text>
        <t>Loan: Paccar, 3 T680. Closing = Opening - Principal</t>
      </text>
    </comment>
    <comment ref="C34" authorId="0" shapeId="0">
      <text>
        <t>Links to: Prior month closing balance row 33</t>
      </text>
    </comment>
    <comment ref="D34" authorId="0" shapeId="0">
      <text>
        <t>Loan: Paccar, 3 T680. Interest = Opening * Annual Rate / 12</t>
      </text>
    </comment>
    <comment ref="E34" authorId="0" shapeId="0">
      <text>
        <t>Loan: Paccar, 3 T680. Principal = MIN(Opening, Payment - Interest)</t>
      </text>
    </comment>
    <comment ref="F34" authorId="0" shapeId="0">
      <text>
        <t>Loan: Paccar, 3 T680. Closing = Opening - Principal</t>
      </text>
    </comment>
    <comment ref="C35" authorId="0" shapeId="0">
      <text>
        <t>Links to: Prior month closing balance row 34</t>
      </text>
    </comment>
    <comment ref="D35" authorId="0" shapeId="0">
      <text>
        <t>Loan: Paccar, 3 T680. Interest = Opening * Annual Rate / 12</t>
      </text>
    </comment>
    <comment ref="E35" authorId="0" shapeId="0">
      <text>
        <t>Loan: Paccar, 3 T680. Principal = MIN(Opening, Payment - Interest)</t>
      </text>
    </comment>
    <comment ref="F35" authorId="0" shapeId="0">
      <text>
        <t>Loan: Paccar, 3 T680. Closing = Opening - Principal</t>
      </text>
    </comment>
    <comment ref="C36" authorId="0" shapeId="0">
      <text>
        <t>Links to: Prior month closing balance row 35</t>
      </text>
    </comment>
    <comment ref="D36" authorId="0" shapeId="0">
      <text>
        <t>Loan: Paccar, 3 T680. Interest = Opening * Annual Rate / 12</t>
      </text>
    </comment>
    <comment ref="E36" authorId="0" shapeId="0">
      <text>
        <t>Loan: Paccar, 3 T680. Principal = MIN(Opening, Payment - Interest)</t>
      </text>
    </comment>
    <comment ref="F36" authorId="0" shapeId="0">
      <text>
        <t>Loan: Paccar, 3 T680. Closing = Opening - Principal</t>
      </text>
    </comment>
    <comment ref="C37" authorId="0" shapeId="0">
      <text>
        <t>Links to: Prior month closing balance row 36</t>
      </text>
    </comment>
    <comment ref="D37" authorId="0" shapeId="0">
      <text>
        <t>Loan: Paccar, 3 T680. Interest = Opening * Annual Rate / 12</t>
      </text>
    </comment>
    <comment ref="E37" authorId="0" shapeId="0">
      <text>
        <t>Loan: Paccar, 3 T680. Principal = MIN(Opening, Payment - Interest)</t>
      </text>
    </comment>
    <comment ref="F37" authorId="0" shapeId="0">
      <text>
        <t>Loan: Paccar, 3 T680. Closing = Opening - Principal</t>
      </text>
    </comment>
    <comment ref="C38" authorId="0" shapeId="0">
      <text>
        <t>Links to: Prior month closing balance row 37</t>
      </text>
    </comment>
    <comment ref="D38" authorId="0" shapeId="0">
      <text>
        <t>Loan: Paccar, 3 T680. Interest = Opening * Annual Rate / 12</t>
      </text>
    </comment>
    <comment ref="E38" authorId="0" shapeId="0">
      <text>
        <t>Loan: Paccar, 3 T680. Principal = MIN(Opening, Payment - Interest)</t>
      </text>
    </comment>
    <comment ref="F38" authorId="0" shapeId="0">
      <text>
        <t>Loan: Paccar, 3 T680. Closing = Opening - Principal</t>
      </text>
    </comment>
    <comment ref="C39" authorId="0" shapeId="0">
      <text>
        <t>Links to: Prior month closing balance row 38</t>
      </text>
    </comment>
    <comment ref="D39" authorId="0" shapeId="0">
      <text>
        <t>Loan: Paccar, 3 T680. Interest = Opening * Annual Rate / 12</t>
      </text>
    </comment>
    <comment ref="E39" authorId="0" shapeId="0">
      <text>
        <t>Loan: Paccar, 3 T680. Principal = MIN(Opening, Payment - Interest)</t>
      </text>
    </comment>
    <comment ref="F39" authorId="0" shapeId="0">
      <text>
        <t>Loan: Paccar, 3 T680. Closing = Opening - Principal</t>
      </text>
    </comment>
    <comment ref="C40" authorId="0" shapeId="0">
      <text>
        <t>Links to: Prior month closing balance row 39</t>
      </text>
    </comment>
    <comment ref="D40" authorId="0" shapeId="0">
      <text>
        <t>Loan: Paccar, 3 T680. Interest = Opening * Annual Rate / 12</t>
      </text>
    </comment>
    <comment ref="E40" authorId="0" shapeId="0">
      <text>
        <t>Loan: Paccar, 3 T680. Principal = MIN(Opening, Payment - Interest)</t>
      </text>
    </comment>
    <comment ref="F40" authorId="0" shapeId="0">
      <text>
        <t>Loan: Paccar, 3 T680. Closing = Opening - Principal</t>
      </text>
    </comment>
    <comment ref="C41" authorId="0" shapeId="0">
      <text>
        <t>Links to: Prior month closing balance row 40</t>
      </text>
    </comment>
    <comment ref="D41" authorId="0" shapeId="0">
      <text>
        <t>Loan: Paccar, 3 T680. Interest = Opening * Annual Rate / 12</t>
      </text>
    </comment>
    <comment ref="E41" authorId="0" shapeId="0">
      <text>
        <t>Loan: Paccar, 3 T680. Principal = MIN(Opening, Payment - Interest)</t>
      </text>
    </comment>
    <comment ref="F41" authorId="0" shapeId="0">
      <text>
        <t>Loan: Paccar, 3 T680. Closing = Opening - Principal</t>
      </text>
    </comment>
    <comment ref="C42" authorId="0" shapeId="0">
      <text>
        <t>Links to: Prior month closing balance row 41</t>
      </text>
    </comment>
    <comment ref="D42" authorId="0" shapeId="0">
      <text>
        <t>Loan: Paccar, 3 T680. Interest = Opening * Annual Rate / 12</t>
      </text>
    </comment>
    <comment ref="E42" authorId="0" shapeId="0">
      <text>
        <t>Loan: Paccar, 3 T680. Principal = MIN(Opening, Payment - Interest)</t>
      </text>
    </comment>
    <comment ref="F42" authorId="0" shapeId="0">
      <text>
        <t>Loan: Paccar, 3 T680. Closing = Opening - Principal</t>
      </text>
    </comment>
    <comment ref="C47" authorId="0" shapeId="0">
      <text>
        <t>Sum of rows 23-34: Annual opening balance</t>
      </text>
    </comment>
    <comment ref="D47" authorId="0" shapeId="0">
      <text>
        <t>Sum of rows 23-34: Annual interest expense</t>
      </text>
    </comment>
    <comment ref="E47" authorId="0" shapeId="0">
      <text>
        <t>Sum of rows 23-34: Annual principal repayment</t>
      </text>
    </comment>
    <comment ref="F47" authorId="0" shapeId="0">
      <text>
        <t>Sum of rows 23-34: Year-end closing balance</t>
      </text>
    </comment>
    <comment ref="C48" authorId="0" shapeId="0">
      <text>
        <t>Sum of rows 35-42: Annual opening balance</t>
      </text>
    </comment>
    <comment ref="D48" authorId="0" shapeId="0">
      <text>
        <t>Sum of rows 35-42: Annual interest expense</t>
      </text>
    </comment>
    <comment ref="E48" authorId="0" shapeId="0">
      <text>
        <t>Sum of rows 35-42: Annual principal repayment</t>
      </text>
    </comment>
    <comment ref="F48" authorId="0" shapeId="0">
      <text>
        <t>Sum of rows 35-42: Year-end closing balance</t>
      </text>
    </comment>
    <comment ref="B51" authorId="0" shapeId="0">
      <text>
        <t>Links to: Year-end 2026 closing balance for Debt Schedule reference</t>
      </text>
    </comment>
  </commentList>
</comments>
</file>

<file path=xl/comments/comment18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loans.md, Paccar Loan 7
Extracted: 2026-05-14</t>
      </text>
    </comment>
    <comment ref="B6" authorId="0" shapeId="0">
      <text>
        <t>Loan: Paccar, 1 T680. Source: Meiborg_Debt_Schedule_202512.xlsx
Balance as of 12/31/2025</t>
      </text>
    </comment>
    <comment ref="B7" authorId="0" shapeId="0">
      <text>
        <t>Loan: Paccar, 1 T680. Source: Meiborg_Debt_Schedule_202512.xlsx</t>
      </text>
    </comment>
    <comment ref="B8" authorId="0" shapeId="0">
      <text>
        <t>Loan: Paccar, 1 T680. Source: Meiborg_Debt_Schedule_202512.xlsx</t>
      </text>
    </comment>
    <comment ref="C23" authorId="0" shapeId="0">
      <text>
        <t>Links to: Opening Balance input cell B6</t>
      </text>
    </comment>
    <comment ref="D23" authorId="0" shapeId="0">
      <text>
        <t>Loan: Paccar, 1 T680. Interest = Opening * Annual Rate / 12</t>
      </text>
    </comment>
    <comment ref="E23" authorId="0" shapeId="0">
      <text>
        <t>Loan: Paccar, 1 T680. Principal = MIN(Opening, Payment - Interest)</t>
      </text>
    </comment>
    <comment ref="F23" authorId="0" shapeId="0">
      <text>
        <t>Loan: Paccar, 1 T680. Closing = Opening - Principal</t>
      </text>
    </comment>
    <comment ref="C24" authorId="0" shapeId="0">
      <text>
        <t>Links to: Prior month closing balance row 23</t>
      </text>
    </comment>
    <comment ref="D24" authorId="0" shapeId="0">
      <text>
        <t>Loan: Paccar, 1 T680. Interest = Opening * Annual Rate / 12</t>
      </text>
    </comment>
    <comment ref="E24" authorId="0" shapeId="0">
      <text>
        <t>Loan: Paccar, 1 T680. Principal = MIN(Opening, Payment - Interest)</t>
      </text>
    </comment>
    <comment ref="F24" authorId="0" shapeId="0">
      <text>
        <t>Loan: Paccar, 1 T680. Closing = Opening - Principal</t>
      </text>
    </comment>
    <comment ref="C25" authorId="0" shapeId="0">
      <text>
        <t>Links to: Prior month closing balance row 24</t>
      </text>
    </comment>
    <comment ref="D25" authorId="0" shapeId="0">
      <text>
        <t>Loan: Paccar, 1 T680. Interest = Opening * Annual Rate / 12</t>
      </text>
    </comment>
    <comment ref="E25" authorId="0" shapeId="0">
      <text>
        <t>Loan: Paccar, 1 T680. Principal = MIN(Opening, Payment - Interest)</t>
      </text>
    </comment>
    <comment ref="F25" authorId="0" shapeId="0">
      <text>
        <t>Loan: Paccar, 1 T680. Closing = Opening - Principal</t>
      </text>
    </comment>
    <comment ref="C26" authorId="0" shapeId="0">
      <text>
        <t>Links to: Prior month closing balance row 25</t>
      </text>
    </comment>
    <comment ref="D26" authorId="0" shapeId="0">
      <text>
        <t>Loan: Paccar, 1 T680. Interest = Opening * Annual Rate / 12</t>
      </text>
    </comment>
    <comment ref="E26" authorId="0" shapeId="0">
      <text>
        <t>Loan: Paccar, 1 T680. Principal = MIN(Opening, Payment - Interest)</t>
      </text>
    </comment>
    <comment ref="F26" authorId="0" shapeId="0">
      <text>
        <t>Loan: Paccar, 1 T680. Closing = Opening - Principal</t>
      </text>
    </comment>
    <comment ref="C27" authorId="0" shapeId="0">
      <text>
        <t>Links to: Prior month closing balance row 26</t>
      </text>
    </comment>
    <comment ref="D27" authorId="0" shapeId="0">
      <text>
        <t>Loan: Paccar, 1 T680. Interest = Opening * Annual Rate / 12</t>
      </text>
    </comment>
    <comment ref="E27" authorId="0" shapeId="0">
      <text>
        <t>Loan: Paccar, 1 T680. Principal = MIN(Opening, Payment - Interest)</t>
      </text>
    </comment>
    <comment ref="F27" authorId="0" shapeId="0">
      <text>
        <t>Loan: Paccar, 1 T680. Closing = Opening - Principal</t>
      </text>
    </comment>
    <comment ref="C28" authorId="0" shapeId="0">
      <text>
        <t>Links to: Prior month closing balance row 27</t>
      </text>
    </comment>
    <comment ref="D28" authorId="0" shapeId="0">
      <text>
        <t>Loan: Paccar, 1 T680. Interest = Opening * Annual Rate / 12</t>
      </text>
    </comment>
    <comment ref="E28" authorId="0" shapeId="0">
      <text>
        <t>Loan: Paccar, 1 T680. Principal = MIN(Opening, Payment - Interest)</t>
      </text>
    </comment>
    <comment ref="F28" authorId="0" shapeId="0">
      <text>
        <t>Loan: Paccar, 1 T680. Closing = Opening - Principal</t>
      </text>
    </comment>
    <comment ref="C29" authorId="0" shapeId="0">
      <text>
        <t>Links to: Prior month closing balance row 28</t>
      </text>
    </comment>
    <comment ref="D29" authorId="0" shapeId="0">
      <text>
        <t>Loan: Paccar, 1 T680. Interest = Opening * Annual Rate / 12</t>
      </text>
    </comment>
    <comment ref="E29" authorId="0" shapeId="0">
      <text>
        <t>Loan: Paccar, 1 T680. Principal = MIN(Opening, Payment - Interest)</t>
      </text>
    </comment>
    <comment ref="F29" authorId="0" shapeId="0">
      <text>
        <t>Loan: Paccar, 1 T680. Closing = Opening - Principal</t>
      </text>
    </comment>
    <comment ref="C30" authorId="0" shapeId="0">
      <text>
        <t>Links to: Prior month closing balance row 29</t>
      </text>
    </comment>
    <comment ref="D30" authorId="0" shapeId="0">
      <text>
        <t>Loan: Paccar, 1 T680. Interest = Opening * Annual Rate / 12</t>
      </text>
    </comment>
    <comment ref="E30" authorId="0" shapeId="0">
      <text>
        <t>Loan: Paccar, 1 T680. Principal = MIN(Opening, Payment - Interest)</t>
      </text>
    </comment>
    <comment ref="F30" authorId="0" shapeId="0">
      <text>
        <t>Loan: Paccar, 1 T680. Closing = Opening - Principal</t>
      </text>
    </comment>
    <comment ref="C31" authorId="0" shapeId="0">
      <text>
        <t>Links to: Prior month closing balance row 30</t>
      </text>
    </comment>
    <comment ref="D31" authorId="0" shapeId="0">
      <text>
        <t>Loan: Paccar, 1 T680. Interest = Opening * Annual Rate / 12</t>
      </text>
    </comment>
    <comment ref="E31" authorId="0" shapeId="0">
      <text>
        <t>Loan: Paccar, 1 T680. Principal = MIN(Opening, Payment - Interest)</t>
      </text>
    </comment>
    <comment ref="F31" authorId="0" shapeId="0">
      <text>
        <t>Loan: Paccar, 1 T680. Closing = Opening - Principal</t>
      </text>
    </comment>
    <comment ref="C32" authorId="0" shapeId="0">
      <text>
        <t>Links to: Prior month closing balance row 31</t>
      </text>
    </comment>
    <comment ref="D32" authorId="0" shapeId="0">
      <text>
        <t>Loan: Paccar, 1 T680. Interest = Opening * Annual Rate / 12</t>
      </text>
    </comment>
    <comment ref="E32" authorId="0" shapeId="0">
      <text>
        <t>Loan: Paccar, 1 T680. Principal = MIN(Opening, Payment - Interest)</t>
      </text>
    </comment>
    <comment ref="F32" authorId="0" shapeId="0">
      <text>
        <t>Loan: Paccar, 1 T680. Closing = Opening - Principal</t>
      </text>
    </comment>
    <comment ref="C33" authorId="0" shapeId="0">
      <text>
        <t>Links to: Prior month closing balance row 32</t>
      </text>
    </comment>
    <comment ref="D33" authorId="0" shapeId="0">
      <text>
        <t>Loan: Paccar, 1 T680. Interest = Opening * Annual Rate / 12</t>
      </text>
    </comment>
    <comment ref="E33" authorId="0" shapeId="0">
      <text>
        <t>Loan: Paccar, 1 T680. Principal = MIN(Opening, Payment - Interest)</t>
      </text>
    </comment>
    <comment ref="F33" authorId="0" shapeId="0">
      <text>
        <t>Loan: Paccar, 1 T680. Closing = Opening - Principal</t>
      </text>
    </comment>
    <comment ref="C34" authorId="0" shapeId="0">
      <text>
        <t>Links to: Prior month closing balance row 33</t>
      </text>
    </comment>
    <comment ref="D34" authorId="0" shapeId="0">
      <text>
        <t>Loan: Paccar, 1 T680. Interest = Opening * Annual Rate / 12</t>
      </text>
    </comment>
    <comment ref="E34" authorId="0" shapeId="0">
      <text>
        <t>Loan: Paccar, 1 T680. Principal = MIN(Opening, Payment - Interest)</t>
      </text>
    </comment>
    <comment ref="F34" authorId="0" shapeId="0">
      <text>
        <t>Loan: Paccar, 1 T680. Closing = Opening - Principal</t>
      </text>
    </comment>
    <comment ref="C35" authorId="0" shapeId="0">
      <text>
        <t>Links to: Prior month closing balance row 34</t>
      </text>
    </comment>
    <comment ref="D35" authorId="0" shapeId="0">
      <text>
        <t>Loan: Paccar, 1 T680. Interest = Opening * Annual Rate / 12</t>
      </text>
    </comment>
    <comment ref="E35" authorId="0" shapeId="0">
      <text>
        <t>Loan: Paccar, 1 T680. Principal = MIN(Opening, Payment - Interest)</t>
      </text>
    </comment>
    <comment ref="F35" authorId="0" shapeId="0">
      <text>
        <t>Loan: Paccar, 1 T680. Closing = Opening - Principal</t>
      </text>
    </comment>
    <comment ref="C36" authorId="0" shapeId="0">
      <text>
        <t>Links to: Prior month closing balance row 35</t>
      </text>
    </comment>
    <comment ref="D36" authorId="0" shapeId="0">
      <text>
        <t>Loan: Paccar, 1 T680. Interest = Opening * Annual Rate / 12</t>
      </text>
    </comment>
    <comment ref="E36" authorId="0" shapeId="0">
      <text>
        <t>Loan: Paccar, 1 T680. Principal = MIN(Opening, Payment - Interest)</t>
      </text>
    </comment>
    <comment ref="F36" authorId="0" shapeId="0">
      <text>
        <t>Loan: Paccar, 1 T680. Closing = Opening - Principal</t>
      </text>
    </comment>
    <comment ref="C37" authorId="0" shapeId="0">
      <text>
        <t>Links to: Prior month closing balance row 36</t>
      </text>
    </comment>
    <comment ref="D37" authorId="0" shapeId="0">
      <text>
        <t>Loan: Paccar, 1 T680. Interest = Opening * Annual Rate / 12</t>
      </text>
    </comment>
    <comment ref="E37" authorId="0" shapeId="0">
      <text>
        <t>Loan: Paccar, 1 T680. Principal = MIN(Opening, Payment - Interest)</t>
      </text>
    </comment>
    <comment ref="F37" authorId="0" shapeId="0">
      <text>
        <t>Loan: Paccar, 1 T680. Closing = Opening - Principal</t>
      </text>
    </comment>
    <comment ref="C38" authorId="0" shapeId="0">
      <text>
        <t>Links to: Prior month closing balance row 37</t>
      </text>
    </comment>
    <comment ref="D38" authorId="0" shapeId="0">
      <text>
        <t>Loan: Paccar, 1 T680. Interest = Opening * Annual Rate / 12</t>
      </text>
    </comment>
    <comment ref="E38" authorId="0" shapeId="0">
      <text>
        <t>Loan: Paccar, 1 T680. Principal = MIN(Opening, Payment - Interest)</t>
      </text>
    </comment>
    <comment ref="F38" authorId="0" shapeId="0">
      <text>
        <t>Loan: Paccar, 1 T680. Closing = Opening - Principal</t>
      </text>
    </comment>
    <comment ref="C39" authorId="0" shapeId="0">
      <text>
        <t>Links to: Prior month closing balance row 38</t>
      </text>
    </comment>
    <comment ref="D39" authorId="0" shapeId="0">
      <text>
        <t>Loan: Paccar, 1 T680. Interest = Opening * Annual Rate / 12</t>
      </text>
    </comment>
    <comment ref="E39" authorId="0" shapeId="0">
      <text>
        <t>Loan: Paccar, 1 T680. Principal = MIN(Opening, Payment - Interest)</t>
      </text>
    </comment>
    <comment ref="F39" authorId="0" shapeId="0">
      <text>
        <t>Loan: Paccar, 1 T680. Closing = Opening - Principal</t>
      </text>
    </comment>
    <comment ref="C40" authorId="0" shapeId="0">
      <text>
        <t>Links to: Prior month closing balance row 39</t>
      </text>
    </comment>
    <comment ref="D40" authorId="0" shapeId="0">
      <text>
        <t>Loan: Paccar, 1 T680. Interest = Opening * Annual Rate / 12</t>
      </text>
    </comment>
    <comment ref="E40" authorId="0" shapeId="0">
      <text>
        <t>Loan: Paccar, 1 T680. Principal = MIN(Opening, Payment - Interest)</t>
      </text>
    </comment>
    <comment ref="F40" authorId="0" shapeId="0">
      <text>
        <t>Loan: Paccar, 1 T680. Closing = Opening - Principal</t>
      </text>
    </comment>
    <comment ref="C41" authorId="0" shapeId="0">
      <text>
        <t>Links to: Prior month closing balance row 40</t>
      </text>
    </comment>
    <comment ref="D41" authorId="0" shapeId="0">
      <text>
        <t>Loan: Paccar, 1 T680. Interest = Opening * Annual Rate / 12</t>
      </text>
    </comment>
    <comment ref="E41" authorId="0" shapeId="0">
      <text>
        <t>Loan: Paccar, 1 T680. Principal = MIN(Opening, Payment - Interest)</t>
      </text>
    </comment>
    <comment ref="F41" authorId="0" shapeId="0">
      <text>
        <t>Loan: Paccar, 1 T680. Closing = Opening - Principal</t>
      </text>
    </comment>
    <comment ref="C42" authorId="0" shapeId="0">
      <text>
        <t>Links to: Prior month closing balance row 41</t>
      </text>
    </comment>
    <comment ref="D42" authorId="0" shapeId="0">
      <text>
        <t>Loan: Paccar, 1 T680. Interest = Opening * Annual Rate / 12</t>
      </text>
    </comment>
    <comment ref="E42" authorId="0" shapeId="0">
      <text>
        <t>Loan: Paccar, 1 T680. Principal = MIN(Opening, Payment - Interest)</t>
      </text>
    </comment>
    <comment ref="F42" authorId="0" shapeId="0">
      <text>
        <t>Loan: Paccar, 1 T680. Closing = Opening - Principal</t>
      </text>
    </comment>
    <comment ref="C43" authorId="0" shapeId="0">
      <text>
        <t>Links to: Prior month closing balance row 42</t>
      </text>
    </comment>
    <comment ref="D43" authorId="0" shapeId="0">
      <text>
        <t>Loan: Paccar, 1 T680. Interest = Opening * Annual Rate / 12</t>
      </text>
    </comment>
    <comment ref="E43" authorId="0" shapeId="0">
      <text>
        <t>Loan: Paccar, 1 T680. Principal = MIN(Opening, Payment - Interest)</t>
      </text>
    </comment>
    <comment ref="F43" authorId="0" shapeId="0">
      <text>
        <t>Loan: Paccar, 1 T680. Closing = Opening - Principal</t>
      </text>
    </comment>
    <comment ref="C48" authorId="0" shapeId="0">
      <text>
        <t>Sum of rows 23-34: Annual opening balance</t>
      </text>
    </comment>
    <comment ref="D48" authorId="0" shapeId="0">
      <text>
        <t>Sum of rows 23-34: Annual interest expense</t>
      </text>
    </comment>
    <comment ref="E48" authorId="0" shapeId="0">
      <text>
        <t>Sum of rows 23-34: Annual principal repayment</t>
      </text>
    </comment>
    <comment ref="F48" authorId="0" shapeId="0">
      <text>
        <t>Sum of rows 23-34: Year-end closing balance</t>
      </text>
    </comment>
    <comment ref="C49" authorId="0" shapeId="0">
      <text>
        <t>Sum of rows 35-43: Annual opening balance</t>
      </text>
    </comment>
    <comment ref="D49" authorId="0" shapeId="0">
      <text>
        <t>Sum of rows 35-43: Annual interest expense</t>
      </text>
    </comment>
    <comment ref="E49" authorId="0" shapeId="0">
      <text>
        <t>Sum of rows 35-43: Annual principal repayment</t>
      </text>
    </comment>
    <comment ref="F49" authorId="0" shapeId="0">
      <text>
        <t>Sum of rows 35-43: Year-end closing balance</t>
      </text>
    </comment>
    <comment ref="B52" authorId="0" shapeId="0">
      <text>
        <t>Links to: Year-end 2026 closing balance for Debt Schedule reference</t>
      </text>
    </comment>
  </commentList>
</comments>
</file>

<file path=xl/comments/comment19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loans.md, Paccar Loan 8
Extracted: 2026-05-14</t>
      </text>
    </comment>
    <comment ref="B6" authorId="0" shapeId="0">
      <text>
        <t>Loan: Paccar, 1 T680. Source: Meiborg_Debt_Schedule_202512.xlsx
Balance as of 12/31/2025</t>
      </text>
    </comment>
    <comment ref="B7" authorId="0" shapeId="0">
      <text>
        <t>Loan: Paccar, 1 T680. Source: Meiborg_Debt_Schedule_202512.xlsx</t>
      </text>
    </comment>
    <comment ref="B8" authorId="0" shapeId="0">
      <text>
        <t>Loan: Paccar, 1 T680. Source: Meiborg_Debt_Schedule_202512.xlsx</t>
      </text>
    </comment>
    <comment ref="C23" authorId="0" shapeId="0">
      <text>
        <t>Links to: Opening Balance input cell B6</t>
      </text>
    </comment>
    <comment ref="D23" authorId="0" shapeId="0">
      <text>
        <t>Loan: Paccar, 1 T680. Interest = Opening * Annual Rate / 12</t>
      </text>
    </comment>
    <comment ref="E23" authorId="0" shapeId="0">
      <text>
        <t>Loan: Paccar, 1 T680. Principal = MIN(Opening, Payment - Interest)</t>
      </text>
    </comment>
    <comment ref="F23" authorId="0" shapeId="0">
      <text>
        <t>Loan: Paccar, 1 T680. Closing = Opening - Principal</t>
      </text>
    </comment>
    <comment ref="C24" authorId="0" shapeId="0">
      <text>
        <t>Links to: Prior month closing balance row 23</t>
      </text>
    </comment>
    <comment ref="D24" authorId="0" shapeId="0">
      <text>
        <t>Loan: Paccar, 1 T680. Interest = Opening * Annual Rate / 12</t>
      </text>
    </comment>
    <comment ref="E24" authorId="0" shapeId="0">
      <text>
        <t>Loan: Paccar, 1 T680. Principal = MIN(Opening, Payment - Interest)</t>
      </text>
    </comment>
    <comment ref="F24" authorId="0" shapeId="0">
      <text>
        <t>Loan: Paccar, 1 T680. Closing = Opening - Principal</t>
      </text>
    </comment>
    <comment ref="C25" authorId="0" shapeId="0">
      <text>
        <t>Links to: Prior month closing balance row 24</t>
      </text>
    </comment>
    <comment ref="D25" authorId="0" shapeId="0">
      <text>
        <t>Loan: Paccar, 1 T680. Interest = Opening * Annual Rate / 12</t>
      </text>
    </comment>
    <comment ref="E25" authorId="0" shapeId="0">
      <text>
        <t>Loan: Paccar, 1 T680. Principal = MIN(Opening, Payment - Interest)</t>
      </text>
    </comment>
    <comment ref="F25" authorId="0" shapeId="0">
      <text>
        <t>Loan: Paccar, 1 T680. Closing = Opening - Principal</t>
      </text>
    </comment>
    <comment ref="C26" authorId="0" shapeId="0">
      <text>
        <t>Links to: Prior month closing balance row 25</t>
      </text>
    </comment>
    <comment ref="D26" authorId="0" shapeId="0">
      <text>
        <t>Loan: Paccar, 1 T680. Interest = Opening * Annual Rate / 12</t>
      </text>
    </comment>
    <comment ref="E26" authorId="0" shapeId="0">
      <text>
        <t>Loan: Paccar, 1 T680. Principal = MIN(Opening, Payment - Interest)</t>
      </text>
    </comment>
    <comment ref="F26" authorId="0" shapeId="0">
      <text>
        <t>Loan: Paccar, 1 T680. Closing = Opening - Principal</t>
      </text>
    </comment>
    <comment ref="C27" authorId="0" shapeId="0">
      <text>
        <t>Links to: Prior month closing balance row 26</t>
      </text>
    </comment>
    <comment ref="D27" authorId="0" shapeId="0">
      <text>
        <t>Loan: Paccar, 1 T680. Interest = Opening * Annual Rate / 12</t>
      </text>
    </comment>
    <comment ref="E27" authorId="0" shapeId="0">
      <text>
        <t>Loan: Paccar, 1 T680. Principal = MIN(Opening, Payment - Interest)</t>
      </text>
    </comment>
    <comment ref="F27" authorId="0" shapeId="0">
      <text>
        <t>Loan: Paccar, 1 T680. Closing = Opening - Principal</t>
      </text>
    </comment>
    <comment ref="C28" authorId="0" shapeId="0">
      <text>
        <t>Links to: Prior month closing balance row 27</t>
      </text>
    </comment>
    <comment ref="D28" authorId="0" shapeId="0">
      <text>
        <t>Loan: Paccar, 1 T680. Interest = Opening * Annual Rate / 12</t>
      </text>
    </comment>
    <comment ref="E28" authorId="0" shapeId="0">
      <text>
        <t>Loan: Paccar, 1 T680. Principal = MIN(Opening, Payment - Interest)</t>
      </text>
    </comment>
    <comment ref="F28" authorId="0" shapeId="0">
      <text>
        <t>Loan: Paccar, 1 T680. Closing = Opening - Principal</t>
      </text>
    </comment>
    <comment ref="C29" authorId="0" shapeId="0">
      <text>
        <t>Links to: Prior month closing balance row 28</t>
      </text>
    </comment>
    <comment ref="D29" authorId="0" shapeId="0">
      <text>
        <t>Loan: Paccar, 1 T680. Interest = Opening * Annual Rate / 12</t>
      </text>
    </comment>
    <comment ref="E29" authorId="0" shapeId="0">
      <text>
        <t>Loan: Paccar, 1 T680. Principal = MIN(Opening, Payment - Interest)</t>
      </text>
    </comment>
    <comment ref="F29" authorId="0" shapeId="0">
      <text>
        <t>Loan: Paccar, 1 T680. Closing = Opening - Principal</t>
      </text>
    </comment>
    <comment ref="C30" authorId="0" shapeId="0">
      <text>
        <t>Links to: Prior month closing balance row 29</t>
      </text>
    </comment>
    <comment ref="D30" authorId="0" shapeId="0">
      <text>
        <t>Loan: Paccar, 1 T680. Interest = Opening * Annual Rate / 12</t>
      </text>
    </comment>
    <comment ref="E30" authorId="0" shapeId="0">
      <text>
        <t>Loan: Paccar, 1 T680. Principal = MIN(Opening, Payment - Interest)</t>
      </text>
    </comment>
    <comment ref="F30" authorId="0" shapeId="0">
      <text>
        <t>Loan: Paccar, 1 T680. Closing = Opening - Principal</t>
      </text>
    </comment>
    <comment ref="C31" authorId="0" shapeId="0">
      <text>
        <t>Links to: Prior month closing balance row 30</t>
      </text>
    </comment>
    <comment ref="D31" authorId="0" shapeId="0">
      <text>
        <t>Loan: Paccar, 1 T680. Interest = Opening * Annual Rate / 12</t>
      </text>
    </comment>
    <comment ref="E31" authorId="0" shapeId="0">
      <text>
        <t>Loan: Paccar, 1 T680. Principal = MIN(Opening, Payment - Interest)</t>
      </text>
    </comment>
    <comment ref="F31" authorId="0" shapeId="0">
      <text>
        <t>Loan: Paccar, 1 T680. Closing = Opening - Principal</t>
      </text>
    </comment>
    <comment ref="C32" authorId="0" shapeId="0">
      <text>
        <t>Links to: Prior month closing balance row 31</t>
      </text>
    </comment>
    <comment ref="D32" authorId="0" shapeId="0">
      <text>
        <t>Loan: Paccar, 1 T680. Interest = Opening * Annual Rate / 12</t>
      </text>
    </comment>
    <comment ref="E32" authorId="0" shapeId="0">
      <text>
        <t>Loan: Paccar, 1 T680. Principal = MIN(Opening, Payment - Interest)</t>
      </text>
    </comment>
    <comment ref="F32" authorId="0" shapeId="0">
      <text>
        <t>Loan: Paccar, 1 T680. Closing = Opening - Principal</t>
      </text>
    </comment>
    <comment ref="C33" authorId="0" shapeId="0">
      <text>
        <t>Links to: Prior month closing balance row 32</t>
      </text>
    </comment>
    <comment ref="D33" authorId="0" shapeId="0">
      <text>
        <t>Loan: Paccar, 1 T680. Interest = Opening * Annual Rate / 12</t>
      </text>
    </comment>
    <comment ref="E33" authorId="0" shapeId="0">
      <text>
        <t>Loan: Paccar, 1 T680. Principal = MIN(Opening, Payment - Interest)</t>
      </text>
    </comment>
    <comment ref="F33" authorId="0" shapeId="0">
      <text>
        <t>Loan: Paccar, 1 T680. Closing = Opening - Principal</t>
      </text>
    </comment>
    <comment ref="C34" authorId="0" shapeId="0">
      <text>
        <t>Links to: Prior month closing balance row 33</t>
      </text>
    </comment>
    <comment ref="D34" authorId="0" shapeId="0">
      <text>
        <t>Loan: Paccar, 1 T680. Interest = Opening * Annual Rate / 12</t>
      </text>
    </comment>
    <comment ref="E34" authorId="0" shapeId="0">
      <text>
        <t>Loan: Paccar, 1 T680. Principal = MIN(Opening, Payment - Interest)</t>
      </text>
    </comment>
    <comment ref="F34" authorId="0" shapeId="0">
      <text>
        <t>Loan: Paccar, 1 T680. Closing = Opening - Principal</t>
      </text>
    </comment>
    <comment ref="C35" authorId="0" shapeId="0">
      <text>
        <t>Links to: Prior month closing balance row 34</t>
      </text>
    </comment>
    <comment ref="D35" authorId="0" shapeId="0">
      <text>
        <t>Loan: Paccar, 1 T680. Interest = Opening * Annual Rate / 12</t>
      </text>
    </comment>
    <comment ref="E35" authorId="0" shapeId="0">
      <text>
        <t>Loan: Paccar, 1 T680. Principal = MIN(Opening, Payment - Interest)</t>
      </text>
    </comment>
    <comment ref="F35" authorId="0" shapeId="0">
      <text>
        <t>Loan: Paccar, 1 T680. Closing = Opening - Principal</t>
      </text>
    </comment>
    <comment ref="C36" authorId="0" shapeId="0">
      <text>
        <t>Links to: Prior month closing balance row 35</t>
      </text>
    </comment>
    <comment ref="D36" authorId="0" shapeId="0">
      <text>
        <t>Loan: Paccar, 1 T680. Interest = Opening * Annual Rate / 12</t>
      </text>
    </comment>
    <comment ref="E36" authorId="0" shapeId="0">
      <text>
        <t>Loan: Paccar, 1 T680. Principal = MIN(Opening, Payment - Interest)</t>
      </text>
    </comment>
    <comment ref="F36" authorId="0" shapeId="0">
      <text>
        <t>Loan: Paccar, 1 T680. Closing = Opening - Principal</t>
      </text>
    </comment>
    <comment ref="C37" authorId="0" shapeId="0">
      <text>
        <t>Links to: Prior month closing balance row 36</t>
      </text>
    </comment>
    <comment ref="D37" authorId="0" shapeId="0">
      <text>
        <t>Loan: Paccar, 1 T680. Interest = Opening * Annual Rate / 12</t>
      </text>
    </comment>
    <comment ref="E37" authorId="0" shapeId="0">
      <text>
        <t>Loan: Paccar, 1 T680. Principal = MIN(Opening, Payment - Interest)</t>
      </text>
    </comment>
    <comment ref="F37" authorId="0" shapeId="0">
      <text>
        <t>Loan: Paccar, 1 T680. Closing = Opening - Principal</t>
      </text>
    </comment>
    <comment ref="C38" authorId="0" shapeId="0">
      <text>
        <t>Links to: Prior month closing balance row 37</t>
      </text>
    </comment>
    <comment ref="D38" authorId="0" shapeId="0">
      <text>
        <t>Loan: Paccar, 1 T680. Interest = Opening * Annual Rate / 12</t>
      </text>
    </comment>
    <comment ref="E38" authorId="0" shapeId="0">
      <text>
        <t>Loan: Paccar, 1 T680. Principal = MIN(Opening, Payment - Interest)</t>
      </text>
    </comment>
    <comment ref="F38" authorId="0" shapeId="0">
      <text>
        <t>Loan: Paccar, 1 T680. Closing = Opening - Principal</t>
      </text>
    </comment>
    <comment ref="C39" authorId="0" shapeId="0">
      <text>
        <t>Links to: Prior month closing balance row 38</t>
      </text>
    </comment>
    <comment ref="D39" authorId="0" shapeId="0">
      <text>
        <t>Loan: Paccar, 1 T680. Interest = Opening * Annual Rate / 12</t>
      </text>
    </comment>
    <comment ref="E39" authorId="0" shapeId="0">
      <text>
        <t>Loan: Paccar, 1 T680. Principal = MIN(Opening, Payment - Interest)</t>
      </text>
    </comment>
    <comment ref="F39" authorId="0" shapeId="0">
      <text>
        <t>Loan: Paccar, 1 T680. Closing = Opening - Principal</t>
      </text>
    </comment>
    <comment ref="C40" authorId="0" shapeId="0">
      <text>
        <t>Links to: Prior month closing balance row 39</t>
      </text>
    </comment>
    <comment ref="D40" authorId="0" shapeId="0">
      <text>
        <t>Loan: Paccar, 1 T680. Interest = Opening * Annual Rate / 12</t>
      </text>
    </comment>
    <comment ref="E40" authorId="0" shapeId="0">
      <text>
        <t>Loan: Paccar, 1 T680. Principal = MIN(Opening, Payment - Interest)</t>
      </text>
    </comment>
    <comment ref="F40" authorId="0" shapeId="0">
      <text>
        <t>Loan: Paccar, 1 T680. Closing = Opening - Principal</t>
      </text>
    </comment>
    <comment ref="C41" authorId="0" shapeId="0">
      <text>
        <t>Links to: Prior month closing balance row 40</t>
      </text>
    </comment>
    <comment ref="D41" authorId="0" shapeId="0">
      <text>
        <t>Loan: Paccar, 1 T680. Interest = Opening * Annual Rate / 12</t>
      </text>
    </comment>
    <comment ref="E41" authorId="0" shapeId="0">
      <text>
        <t>Loan: Paccar, 1 T680. Principal = MIN(Opening, Payment - Interest)</t>
      </text>
    </comment>
    <comment ref="F41" authorId="0" shapeId="0">
      <text>
        <t>Loan: Paccar, 1 T680. Closing = Opening - Principal</t>
      </text>
    </comment>
    <comment ref="C42" authorId="0" shapeId="0">
      <text>
        <t>Links to: Prior month closing balance row 41</t>
      </text>
    </comment>
    <comment ref="D42" authorId="0" shapeId="0">
      <text>
        <t>Loan: Paccar, 1 T680. Interest = Opening * Annual Rate / 12</t>
      </text>
    </comment>
    <comment ref="E42" authorId="0" shapeId="0">
      <text>
        <t>Loan: Paccar, 1 T680. Principal = MIN(Opening, Payment - Interest)</t>
      </text>
    </comment>
    <comment ref="F42" authorId="0" shapeId="0">
      <text>
        <t>Loan: Paccar, 1 T680. Closing = Opening - Principal</t>
      </text>
    </comment>
    <comment ref="C43" authorId="0" shapeId="0">
      <text>
        <t>Links to: Prior month closing balance row 42</t>
      </text>
    </comment>
    <comment ref="D43" authorId="0" shapeId="0">
      <text>
        <t>Loan: Paccar, 1 T680. Interest = Opening * Annual Rate / 12</t>
      </text>
    </comment>
    <comment ref="E43" authorId="0" shapeId="0">
      <text>
        <t>Loan: Paccar, 1 T680. Principal = MIN(Opening, Payment - Interest)</t>
      </text>
    </comment>
    <comment ref="F43" authorId="0" shapeId="0">
      <text>
        <t>Loan: Paccar, 1 T680. Closing = Opening - Principal</t>
      </text>
    </comment>
    <comment ref="C44" authorId="0" shapeId="0">
      <text>
        <t>Links to: Prior month closing balance row 43</t>
      </text>
    </comment>
    <comment ref="D44" authorId="0" shapeId="0">
      <text>
        <t>Loan: Paccar, 1 T680. Interest = Opening * Annual Rate / 12</t>
      </text>
    </comment>
    <comment ref="E44" authorId="0" shapeId="0">
      <text>
        <t>Loan: Paccar, 1 T680. Principal = MIN(Opening, Payment - Interest)</t>
      </text>
    </comment>
    <comment ref="F44" authorId="0" shapeId="0">
      <text>
        <t>Loan: Paccar, 1 T680. Closing = Opening - Principal</t>
      </text>
    </comment>
    <comment ref="C49" authorId="0" shapeId="0">
      <text>
        <t>Sum of rows 23-34: Annual opening balance</t>
      </text>
    </comment>
    <comment ref="D49" authorId="0" shapeId="0">
      <text>
        <t>Sum of rows 23-34: Annual interest expense</t>
      </text>
    </comment>
    <comment ref="E49" authorId="0" shapeId="0">
      <text>
        <t>Sum of rows 23-34: Annual principal repayment</t>
      </text>
    </comment>
    <comment ref="F49" authorId="0" shapeId="0">
      <text>
        <t>Sum of rows 23-34: Year-end closing balance</t>
      </text>
    </comment>
    <comment ref="C50" authorId="0" shapeId="0">
      <text>
        <t>Sum of rows 35-44: Annual opening balance</t>
      </text>
    </comment>
    <comment ref="D50" authorId="0" shapeId="0">
      <text>
        <t>Sum of rows 35-44: Annual interest expense</t>
      </text>
    </comment>
    <comment ref="E50" authorId="0" shapeId="0">
      <text>
        <t>Sum of rows 35-44: Annual principal repayment</t>
      </text>
    </comment>
    <comment ref="F50" authorId="0" shapeId="0">
      <text>
        <t>Sum of rows 35-44: Year-end closing balance</t>
      </text>
    </comment>
    <comment ref="B53" authorId="0" shapeId="0">
      <text>
        <t>Links to: Year-end 2026 closing balance for Debt Schedule reference</t>
      </text>
    </comment>
  </commentList>
</comments>
</file>

<file path=xl/comments/comment2.xml><?xml version="1.0" encoding="utf-8"?>
<comments xmlns="http://schemas.openxmlformats.org/spreadsheetml/2006/main">
  <authors>
    <author>Model Builder</author>
  </authors>
  <commentList>
    <comment ref="A3" authorId="0" shapeId="0">
      <text>
        <t>Cover page title for financial model package</t>
      </text>
    </comment>
    <comment ref="B17" authorId="0" shapeId="0">
      <text>
        <t>Transaction summary section - key deal metrics</t>
      </text>
    </comment>
    <comment ref="B25" authorId="0" shapeId="0">
      <text>
        <t>Investment thesis highlights for the debt refinancing</t>
      </text>
    </comment>
    <comment ref="B30" authorId="0" shapeId="0">
      <text>
        <t>Index of model tabs with descriptions</t>
      </text>
    </comment>
  </commentList>
</comments>
</file>

<file path=xl/comments/comment20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loans.md, Paccar Loan 9
Extracted: 2026-05-14</t>
      </text>
    </comment>
    <comment ref="B6" authorId="0" shapeId="0">
      <text>
        <t>Loan: Paccar, 2 T680. Source: Meiborg_Debt_Schedule_202512.xlsx
Balance as of 12/31/2025</t>
      </text>
    </comment>
    <comment ref="B7" authorId="0" shapeId="0">
      <text>
        <t>Loan: Paccar, 2 T680. Source: Meiborg_Debt_Schedule_202512.xlsx</t>
      </text>
    </comment>
    <comment ref="B8" authorId="0" shapeId="0">
      <text>
        <t>Loan: Paccar, 2 T680. Source: Meiborg_Debt_Schedule_202512.xlsx</t>
      </text>
    </comment>
    <comment ref="C23" authorId="0" shapeId="0">
      <text>
        <t>Links to: Opening Balance input cell B6</t>
      </text>
    </comment>
    <comment ref="D23" authorId="0" shapeId="0">
      <text>
        <t>Loan: Paccar, 2 T680. Interest = Opening * Annual Rate / 12</t>
      </text>
    </comment>
    <comment ref="E23" authorId="0" shapeId="0">
      <text>
        <t>Loan: Paccar, 2 T680. Principal = MIN(Opening, Payment - Interest)</t>
      </text>
    </comment>
    <comment ref="F23" authorId="0" shapeId="0">
      <text>
        <t>Loan: Paccar, 2 T680. Closing = Opening - Principal</t>
      </text>
    </comment>
    <comment ref="C24" authorId="0" shapeId="0">
      <text>
        <t>Links to: Prior month closing balance row 23</t>
      </text>
    </comment>
    <comment ref="D24" authorId="0" shapeId="0">
      <text>
        <t>Loan: Paccar, 2 T680. Interest = Opening * Annual Rate / 12</t>
      </text>
    </comment>
    <comment ref="E24" authorId="0" shapeId="0">
      <text>
        <t>Loan: Paccar, 2 T680. Principal = MIN(Opening, Payment - Interest)</t>
      </text>
    </comment>
    <comment ref="F24" authorId="0" shapeId="0">
      <text>
        <t>Loan: Paccar, 2 T680. Closing = Opening - Principal</t>
      </text>
    </comment>
    <comment ref="C25" authorId="0" shapeId="0">
      <text>
        <t>Links to: Prior month closing balance row 24</t>
      </text>
    </comment>
    <comment ref="D25" authorId="0" shapeId="0">
      <text>
        <t>Loan: Paccar, 2 T680. Interest = Opening * Annual Rate / 12</t>
      </text>
    </comment>
    <comment ref="E25" authorId="0" shapeId="0">
      <text>
        <t>Loan: Paccar, 2 T680. Principal = MIN(Opening, Payment - Interest)</t>
      </text>
    </comment>
    <comment ref="F25" authorId="0" shapeId="0">
      <text>
        <t>Loan: Paccar, 2 T680. Closing = Opening - Principal</t>
      </text>
    </comment>
    <comment ref="C26" authorId="0" shapeId="0">
      <text>
        <t>Links to: Prior month closing balance row 25</t>
      </text>
    </comment>
    <comment ref="D26" authorId="0" shapeId="0">
      <text>
        <t>Loan: Paccar, 2 T680. Interest = Opening * Annual Rate / 12</t>
      </text>
    </comment>
    <comment ref="E26" authorId="0" shapeId="0">
      <text>
        <t>Loan: Paccar, 2 T680. Principal = MIN(Opening, Payment - Interest)</t>
      </text>
    </comment>
    <comment ref="F26" authorId="0" shapeId="0">
      <text>
        <t>Loan: Paccar, 2 T680. Closing = Opening - Principal</t>
      </text>
    </comment>
    <comment ref="C27" authorId="0" shapeId="0">
      <text>
        <t>Links to: Prior month closing balance row 26</t>
      </text>
    </comment>
    <comment ref="D27" authorId="0" shapeId="0">
      <text>
        <t>Loan: Paccar, 2 T680. Interest = Opening * Annual Rate / 12</t>
      </text>
    </comment>
    <comment ref="E27" authorId="0" shapeId="0">
      <text>
        <t>Loan: Paccar, 2 T680. Principal = MIN(Opening, Payment - Interest)</t>
      </text>
    </comment>
    <comment ref="F27" authorId="0" shapeId="0">
      <text>
        <t>Loan: Paccar, 2 T680. Closing = Opening - Principal</t>
      </text>
    </comment>
    <comment ref="C28" authorId="0" shapeId="0">
      <text>
        <t>Links to: Prior month closing balance row 27</t>
      </text>
    </comment>
    <comment ref="D28" authorId="0" shapeId="0">
      <text>
        <t>Loan: Paccar, 2 T680. Interest = Opening * Annual Rate / 12</t>
      </text>
    </comment>
    <comment ref="E28" authorId="0" shapeId="0">
      <text>
        <t>Loan: Paccar, 2 T680. Principal = MIN(Opening, Payment - Interest)</t>
      </text>
    </comment>
    <comment ref="F28" authorId="0" shapeId="0">
      <text>
        <t>Loan: Paccar, 2 T680. Closing = Opening - Principal</t>
      </text>
    </comment>
    <comment ref="C29" authorId="0" shapeId="0">
      <text>
        <t>Links to: Prior month closing balance row 28</t>
      </text>
    </comment>
    <comment ref="D29" authorId="0" shapeId="0">
      <text>
        <t>Loan: Paccar, 2 T680. Interest = Opening * Annual Rate / 12</t>
      </text>
    </comment>
    <comment ref="E29" authorId="0" shapeId="0">
      <text>
        <t>Loan: Paccar, 2 T680. Principal = MIN(Opening, Payment - Interest)</t>
      </text>
    </comment>
    <comment ref="F29" authorId="0" shapeId="0">
      <text>
        <t>Loan: Paccar, 2 T680. Closing = Opening - Principal</t>
      </text>
    </comment>
    <comment ref="C30" authorId="0" shapeId="0">
      <text>
        <t>Links to: Prior month closing balance row 29</t>
      </text>
    </comment>
    <comment ref="D30" authorId="0" shapeId="0">
      <text>
        <t>Loan: Paccar, 2 T680. Interest = Opening * Annual Rate / 12</t>
      </text>
    </comment>
    <comment ref="E30" authorId="0" shapeId="0">
      <text>
        <t>Loan: Paccar, 2 T680. Principal = MIN(Opening, Payment - Interest)</t>
      </text>
    </comment>
    <comment ref="F30" authorId="0" shapeId="0">
      <text>
        <t>Loan: Paccar, 2 T680. Closing = Opening - Principal</t>
      </text>
    </comment>
    <comment ref="C31" authorId="0" shapeId="0">
      <text>
        <t>Links to: Prior month closing balance row 30</t>
      </text>
    </comment>
    <comment ref="D31" authorId="0" shapeId="0">
      <text>
        <t>Loan: Paccar, 2 T680. Interest = Opening * Annual Rate / 12</t>
      </text>
    </comment>
    <comment ref="E31" authorId="0" shapeId="0">
      <text>
        <t>Loan: Paccar, 2 T680. Principal = MIN(Opening, Payment - Interest)</t>
      </text>
    </comment>
    <comment ref="F31" authorId="0" shapeId="0">
      <text>
        <t>Loan: Paccar, 2 T680. Closing = Opening - Principal</t>
      </text>
    </comment>
    <comment ref="C32" authorId="0" shapeId="0">
      <text>
        <t>Links to: Prior month closing balance row 31</t>
      </text>
    </comment>
    <comment ref="D32" authorId="0" shapeId="0">
      <text>
        <t>Loan: Paccar, 2 T680. Interest = Opening * Annual Rate / 12</t>
      </text>
    </comment>
    <comment ref="E32" authorId="0" shapeId="0">
      <text>
        <t>Loan: Paccar, 2 T680. Principal = MIN(Opening, Payment - Interest)</t>
      </text>
    </comment>
    <comment ref="F32" authorId="0" shapeId="0">
      <text>
        <t>Loan: Paccar, 2 T680. Closing = Opening - Principal</t>
      </text>
    </comment>
    <comment ref="C33" authorId="0" shapeId="0">
      <text>
        <t>Links to: Prior month closing balance row 32</t>
      </text>
    </comment>
    <comment ref="D33" authorId="0" shapeId="0">
      <text>
        <t>Loan: Paccar, 2 T680. Interest = Opening * Annual Rate / 12</t>
      </text>
    </comment>
    <comment ref="E33" authorId="0" shapeId="0">
      <text>
        <t>Loan: Paccar, 2 T680. Principal = MIN(Opening, Payment - Interest)</t>
      </text>
    </comment>
    <comment ref="F33" authorId="0" shapeId="0">
      <text>
        <t>Loan: Paccar, 2 T680. Closing = Opening - Principal</t>
      </text>
    </comment>
    <comment ref="C34" authorId="0" shapeId="0">
      <text>
        <t>Links to: Prior month closing balance row 33</t>
      </text>
    </comment>
    <comment ref="D34" authorId="0" shapeId="0">
      <text>
        <t>Loan: Paccar, 2 T680. Interest = Opening * Annual Rate / 12</t>
      </text>
    </comment>
    <comment ref="E34" authorId="0" shapeId="0">
      <text>
        <t>Loan: Paccar, 2 T680. Principal = MIN(Opening, Payment - Interest)</t>
      </text>
    </comment>
    <comment ref="F34" authorId="0" shapeId="0">
      <text>
        <t>Loan: Paccar, 2 T680. Closing = Opening - Principal</t>
      </text>
    </comment>
    <comment ref="C35" authorId="0" shapeId="0">
      <text>
        <t>Links to: Prior month closing balance row 34</t>
      </text>
    </comment>
    <comment ref="D35" authorId="0" shapeId="0">
      <text>
        <t>Loan: Paccar, 2 T680. Interest = Opening * Annual Rate / 12</t>
      </text>
    </comment>
    <comment ref="E35" authorId="0" shapeId="0">
      <text>
        <t>Loan: Paccar, 2 T680. Principal = MIN(Opening, Payment - Interest)</t>
      </text>
    </comment>
    <comment ref="F35" authorId="0" shapeId="0">
      <text>
        <t>Loan: Paccar, 2 T680. Closing = Opening - Principal</t>
      </text>
    </comment>
    <comment ref="C36" authorId="0" shapeId="0">
      <text>
        <t>Links to: Prior month closing balance row 35</t>
      </text>
    </comment>
    <comment ref="D36" authorId="0" shapeId="0">
      <text>
        <t>Loan: Paccar, 2 T680. Interest = Opening * Annual Rate / 12</t>
      </text>
    </comment>
    <comment ref="E36" authorId="0" shapeId="0">
      <text>
        <t>Loan: Paccar, 2 T680. Principal = MIN(Opening, Payment - Interest)</t>
      </text>
    </comment>
    <comment ref="F36" authorId="0" shapeId="0">
      <text>
        <t>Loan: Paccar, 2 T680. Closing = Opening - Principal</t>
      </text>
    </comment>
    <comment ref="C37" authorId="0" shapeId="0">
      <text>
        <t>Links to: Prior month closing balance row 36</t>
      </text>
    </comment>
    <comment ref="D37" authorId="0" shapeId="0">
      <text>
        <t>Loan: Paccar, 2 T680. Interest = Opening * Annual Rate / 12</t>
      </text>
    </comment>
    <comment ref="E37" authorId="0" shapeId="0">
      <text>
        <t>Loan: Paccar, 2 T680. Principal = MIN(Opening, Payment - Interest)</t>
      </text>
    </comment>
    <comment ref="F37" authorId="0" shapeId="0">
      <text>
        <t>Loan: Paccar, 2 T680. Closing = Opening - Principal</t>
      </text>
    </comment>
    <comment ref="C38" authorId="0" shapeId="0">
      <text>
        <t>Links to: Prior month closing balance row 37</t>
      </text>
    </comment>
    <comment ref="D38" authorId="0" shapeId="0">
      <text>
        <t>Loan: Paccar, 2 T680. Interest = Opening * Annual Rate / 12</t>
      </text>
    </comment>
    <comment ref="E38" authorId="0" shapeId="0">
      <text>
        <t>Loan: Paccar, 2 T680. Principal = MIN(Opening, Payment - Interest)</t>
      </text>
    </comment>
    <comment ref="F38" authorId="0" shapeId="0">
      <text>
        <t>Loan: Paccar, 2 T680. Closing = Opening - Principal</t>
      </text>
    </comment>
    <comment ref="C39" authorId="0" shapeId="0">
      <text>
        <t>Links to: Prior month closing balance row 38</t>
      </text>
    </comment>
    <comment ref="D39" authorId="0" shapeId="0">
      <text>
        <t>Loan: Paccar, 2 T680. Interest = Opening * Annual Rate / 12</t>
      </text>
    </comment>
    <comment ref="E39" authorId="0" shapeId="0">
      <text>
        <t>Loan: Paccar, 2 T680. Principal = MIN(Opening, Payment - Interest)</t>
      </text>
    </comment>
    <comment ref="F39" authorId="0" shapeId="0">
      <text>
        <t>Loan: Paccar, 2 T680. Closing = Opening - Principal</t>
      </text>
    </comment>
    <comment ref="C40" authorId="0" shapeId="0">
      <text>
        <t>Links to: Prior month closing balance row 39</t>
      </text>
    </comment>
    <comment ref="D40" authorId="0" shapeId="0">
      <text>
        <t>Loan: Paccar, 2 T680. Interest = Opening * Annual Rate / 12</t>
      </text>
    </comment>
    <comment ref="E40" authorId="0" shapeId="0">
      <text>
        <t>Loan: Paccar, 2 T680. Principal = MIN(Opening, Payment - Interest)</t>
      </text>
    </comment>
    <comment ref="F40" authorId="0" shapeId="0">
      <text>
        <t>Loan: Paccar, 2 T680. Closing = Opening - Principal</t>
      </text>
    </comment>
    <comment ref="C41" authorId="0" shapeId="0">
      <text>
        <t>Links to: Prior month closing balance row 40</t>
      </text>
    </comment>
    <comment ref="D41" authorId="0" shapeId="0">
      <text>
        <t>Loan: Paccar, 2 T680. Interest = Opening * Annual Rate / 12</t>
      </text>
    </comment>
    <comment ref="E41" authorId="0" shapeId="0">
      <text>
        <t>Loan: Paccar, 2 T680. Principal = MIN(Opening, Payment - Interest)</t>
      </text>
    </comment>
    <comment ref="F41" authorId="0" shapeId="0">
      <text>
        <t>Loan: Paccar, 2 T680. Closing = Opening - Principal</t>
      </text>
    </comment>
    <comment ref="C42" authorId="0" shapeId="0">
      <text>
        <t>Links to: Prior month closing balance row 41</t>
      </text>
    </comment>
    <comment ref="D42" authorId="0" shapeId="0">
      <text>
        <t>Loan: Paccar, 2 T680. Interest = Opening * Annual Rate / 12</t>
      </text>
    </comment>
    <comment ref="E42" authorId="0" shapeId="0">
      <text>
        <t>Loan: Paccar, 2 T680. Principal = MIN(Opening, Payment - Interest)</t>
      </text>
    </comment>
    <comment ref="F42" authorId="0" shapeId="0">
      <text>
        <t>Loan: Paccar, 2 T680. Closing = Opening - Principal</t>
      </text>
    </comment>
    <comment ref="C43" authorId="0" shapeId="0">
      <text>
        <t>Links to: Prior month closing balance row 42</t>
      </text>
    </comment>
    <comment ref="D43" authorId="0" shapeId="0">
      <text>
        <t>Loan: Paccar, 2 T680. Interest = Opening * Annual Rate / 12</t>
      </text>
    </comment>
    <comment ref="E43" authorId="0" shapeId="0">
      <text>
        <t>Loan: Paccar, 2 T680. Principal = MIN(Opening, Payment - Interest)</t>
      </text>
    </comment>
    <comment ref="F43" authorId="0" shapeId="0">
      <text>
        <t>Loan: Paccar, 2 T680. Closing = Opening - Principal</t>
      </text>
    </comment>
    <comment ref="C44" authorId="0" shapeId="0">
      <text>
        <t>Links to: Prior month closing balance row 43</t>
      </text>
    </comment>
    <comment ref="D44" authorId="0" shapeId="0">
      <text>
        <t>Loan: Paccar, 2 T680. Interest = Opening * Annual Rate / 12</t>
      </text>
    </comment>
    <comment ref="E44" authorId="0" shapeId="0">
      <text>
        <t>Loan: Paccar, 2 T680. Principal = MIN(Opening, Payment - Interest)</t>
      </text>
    </comment>
    <comment ref="F44" authorId="0" shapeId="0">
      <text>
        <t>Loan: Paccar, 2 T680. Closing = Opening - Principal</t>
      </text>
    </comment>
    <comment ref="C49" authorId="0" shapeId="0">
      <text>
        <t>Sum of rows 23-34: Annual opening balance</t>
      </text>
    </comment>
    <comment ref="D49" authorId="0" shapeId="0">
      <text>
        <t>Sum of rows 23-34: Annual interest expense</t>
      </text>
    </comment>
    <comment ref="E49" authorId="0" shapeId="0">
      <text>
        <t>Sum of rows 23-34: Annual principal repayment</t>
      </text>
    </comment>
    <comment ref="F49" authorId="0" shapeId="0">
      <text>
        <t>Sum of rows 23-34: Year-end closing balance</t>
      </text>
    </comment>
    <comment ref="C50" authorId="0" shapeId="0">
      <text>
        <t>Sum of rows 35-44: Annual opening balance</t>
      </text>
    </comment>
    <comment ref="D50" authorId="0" shapeId="0">
      <text>
        <t>Sum of rows 35-44: Annual interest expense</t>
      </text>
    </comment>
    <comment ref="E50" authorId="0" shapeId="0">
      <text>
        <t>Sum of rows 35-44: Annual principal repayment</t>
      </text>
    </comment>
    <comment ref="F50" authorId="0" shapeId="0">
      <text>
        <t>Sum of rows 35-44: Year-end closing balance</t>
      </text>
    </comment>
    <comment ref="B53" authorId="0" shapeId="0">
      <text>
        <t>Links to: Year-end 2026 closing balance for Debt Schedule reference</t>
      </text>
    </comment>
  </commentList>
</comments>
</file>

<file path=xl/comments/comment21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loans.md, Paccar Loan 10
Extracted: 2026-05-14</t>
      </text>
    </comment>
    <comment ref="B6" authorId="0" shapeId="0">
      <text>
        <t>Loan: Paccar, 1 T680. Source: Meiborg_Debt_Schedule_202512.xlsx
Balance as of 12/31/2025</t>
      </text>
    </comment>
    <comment ref="B7" authorId="0" shapeId="0">
      <text>
        <t>Loan: Paccar, 1 T680. Source: Meiborg_Debt_Schedule_202512.xlsx</t>
      </text>
    </comment>
    <comment ref="B8" authorId="0" shapeId="0">
      <text>
        <t>Loan: Paccar, 1 T680. Source: Meiborg_Debt_Schedule_202512.xlsx</t>
      </text>
    </comment>
    <comment ref="C23" authorId="0" shapeId="0">
      <text>
        <t>Links to: Opening Balance input cell B6</t>
      </text>
    </comment>
    <comment ref="D23" authorId="0" shapeId="0">
      <text>
        <t>Loan: Paccar, 1 T680. Interest = Opening * Annual Rate / 12</t>
      </text>
    </comment>
    <comment ref="E23" authorId="0" shapeId="0">
      <text>
        <t>Loan: Paccar, 1 T680. Principal = MIN(Opening, Payment - Interest)</t>
      </text>
    </comment>
    <comment ref="F23" authorId="0" shapeId="0">
      <text>
        <t>Loan: Paccar, 1 T680. Closing = Opening - Principal</t>
      </text>
    </comment>
    <comment ref="C24" authorId="0" shapeId="0">
      <text>
        <t>Links to: Prior month closing balance row 23</t>
      </text>
    </comment>
    <comment ref="D24" authorId="0" shapeId="0">
      <text>
        <t>Loan: Paccar, 1 T680. Interest = Opening * Annual Rate / 12</t>
      </text>
    </comment>
    <comment ref="E24" authorId="0" shapeId="0">
      <text>
        <t>Loan: Paccar, 1 T680. Principal = MIN(Opening, Payment - Interest)</t>
      </text>
    </comment>
    <comment ref="F24" authorId="0" shapeId="0">
      <text>
        <t>Loan: Paccar, 1 T680. Closing = Opening - Principal</t>
      </text>
    </comment>
    <comment ref="C25" authorId="0" shapeId="0">
      <text>
        <t>Links to: Prior month closing balance row 24</t>
      </text>
    </comment>
    <comment ref="D25" authorId="0" shapeId="0">
      <text>
        <t>Loan: Paccar, 1 T680. Interest = Opening * Annual Rate / 12</t>
      </text>
    </comment>
    <comment ref="E25" authorId="0" shapeId="0">
      <text>
        <t>Loan: Paccar, 1 T680. Principal = MIN(Opening, Payment - Interest)</t>
      </text>
    </comment>
    <comment ref="F25" authorId="0" shapeId="0">
      <text>
        <t>Loan: Paccar, 1 T680. Closing = Opening - Principal</t>
      </text>
    </comment>
    <comment ref="C26" authorId="0" shapeId="0">
      <text>
        <t>Links to: Prior month closing balance row 25</t>
      </text>
    </comment>
    <comment ref="D26" authorId="0" shapeId="0">
      <text>
        <t>Loan: Paccar, 1 T680. Interest = Opening * Annual Rate / 12</t>
      </text>
    </comment>
    <comment ref="E26" authorId="0" shapeId="0">
      <text>
        <t>Loan: Paccar, 1 T680. Principal = MIN(Opening, Payment - Interest)</t>
      </text>
    </comment>
    <comment ref="F26" authorId="0" shapeId="0">
      <text>
        <t>Loan: Paccar, 1 T680. Closing = Opening - Principal</t>
      </text>
    </comment>
    <comment ref="C27" authorId="0" shapeId="0">
      <text>
        <t>Links to: Prior month closing balance row 26</t>
      </text>
    </comment>
    <comment ref="D27" authorId="0" shapeId="0">
      <text>
        <t>Loan: Paccar, 1 T680. Interest = Opening * Annual Rate / 12</t>
      </text>
    </comment>
    <comment ref="E27" authorId="0" shapeId="0">
      <text>
        <t>Loan: Paccar, 1 T680. Principal = MIN(Opening, Payment - Interest)</t>
      </text>
    </comment>
    <comment ref="F27" authorId="0" shapeId="0">
      <text>
        <t>Loan: Paccar, 1 T680. Closing = Opening - Principal</t>
      </text>
    </comment>
    <comment ref="C28" authorId="0" shapeId="0">
      <text>
        <t>Links to: Prior month closing balance row 27</t>
      </text>
    </comment>
    <comment ref="D28" authorId="0" shapeId="0">
      <text>
        <t>Loan: Paccar, 1 T680. Interest = Opening * Annual Rate / 12</t>
      </text>
    </comment>
    <comment ref="E28" authorId="0" shapeId="0">
      <text>
        <t>Loan: Paccar, 1 T680. Principal = MIN(Opening, Payment - Interest)</t>
      </text>
    </comment>
    <comment ref="F28" authorId="0" shapeId="0">
      <text>
        <t>Loan: Paccar, 1 T680. Closing = Opening - Principal</t>
      </text>
    </comment>
    <comment ref="C29" authorId="0" shapeId="0">
      <text>
        <t>Links to: Prior month closing balance row 28</t>
      </text>
    </comment>
    <comment ref="D29" authorId="0" shapeId="0">
      <text>
        <t>Loan: Paccar, 1 T680. Interest = Opening * Annual Rate / 12</t>
      </text>
    </comment>
    <comment ref="E29" authorId="0" shapeId="0">
      <text>
        <t>Loan: Paccar, 1 T680. Principal = MIN(Opening, Payment - Interest)</t>
      </text>
    </comment>
    <comment ref="F29" authorId="0" shapeId="0">
      <text>
        <t>Loan: Paccar, 1 T680. Closing = Opening - Principal</t>
      </text>
    </comment>
    <comment ref="C30" authorId="0" shapeId="0">
      <text>
        <t>Links to: Prior month closing balance row 29</t>
      </text>
    </comment>
    <comment ref="D30" authorId="0" shapeId="0">
      <text>
        <t>Loan: Paccar, 1 T680. Interest = Opening * Annual Rate / 12</t>
      </text>
    </comment>
    <comment ref="E30" authorId="0" shapeId="0">
      <text>
        <t>Loan: Paccar, 1 T680. Principal = MIN(Opening, Payment - Interest)</t>
      </text>
    </comment>
    <comment ref="F30" authorId="0" shapeId="0">
      <text>
        <t>Loan: Paccar, 1 T680. Closing = Opening - Principal</t>
      </text>
    </comment>
    <comment ref="C31" authorId="0" shapeId="0">
      <text>
        <t>Links to: Prior month closing balance row 30</t>
      </text>
    </comment>
    <comment ref="D31" authorId="0" shapeId="0">
      <text>
        <t>Loan: Paccar, 1 T680. Interest = Opening * Annual Rate / 12</t>
      </text>
    </comment>
    <comment ref="E31" authorId="0" shapeId="0">
      <text>
        <t>Loan: Paccar, 1 T680. Principal = MIN(Opening, Payment - Interest)</t>
      </text>
    </comment>
    <comment ref="F31" authorId="0" shapeId="0">
      <text>
        <t>Loan: Paccar, 1 T680. Closing = Opening - Principal</t>
      </text>
    </comment>
    <comment ref="C32" authorId="0" shapeId="0">
      <text>
        <t>Links to: Prior month closing balance row 31</t>
      </text>
    </comment>
    <comment ref="D32" authorId="0" shapeId="0">
      <text>
        <t>Loan: Paccar, 1 T680. Interest = Opening * Annual Rate / 12</t>
      </text>
    </comment>
    <comment ref="E32" authorId="0" shapeId="0">
      <text>
        <t>Loan: Paccar, 1 T680. Principal = MIN(Opening, Payment - Interest)</t>
      </text>
    </comment>
    <comment ref="F32" authorId="0" shapeId="0">
      <text>
        <t>Loan: Paccar, 1 T680. Closing = Opening - Principal</t>
      </text>
    </comment>
    <comment ref="C33" authorId="0" shapeId="0">
      <text>
        <t>Links to: Prior month closing balance row 32</t>
      </text>
    </comment>
    <comment ref="D33" authorId="0" shapeId="0">
      <text>
        <t>Loan: Paccar, 1 T680. Interest = Opening * Annual Rate / 12</t>
      </text>
    </comment>
    <comment ref="E33" authorId="0" shapeId="0">
      <text>
        <t>Loan: Paccar, 1 T680. Principal = MIN(Opening, Payment - Interest)</t>
      </text>
    </comment>
    <comment ref="F33" authorId="0" shapeId="0">
      <text>
        <t>Loan: Paccar, 1 T680. Closing = Opening - Principal</t>
      </text>
    </comment>
    <comment ref="C34" authorId="0" shapeId="0">
      <text>
        <t>Links to: Prior month closing balance row 33</t>
      </text>
    </comment>
    <comment ref="D34" authorId="0" shapeId="0">
      <text>
        <t>Loan: Paccar, 1 T680. Interest = Opening * Annual Rate / 12</t>
      </text>
    </comment>
    <comment ref="E34" authorId="0" shapeId="0">
      <text>
        <t>Loan: Paccar, 1 T680. Principal = MIN(Opening, Payment - Interest)</t>
      </text>
    </comment>
    <comment ref="F34" authorId="0" shapeId="0">
      <text>
        <t>Loan: Paccar, 1 T680. Closing = Opening - Principal</t>
      </text>
    </comment>
    <comment ref="C35" authorId="0" shapeId="0">
      <text>
        <t>Links to: Prior month closing balance row 34</t>
      </text>
    </comment>
    <comment ref="D35" authorId="0" shapeId="0">
      <text>
        <t>Loan: Paccar, 1 T680. Interest = Opening * Annual Rate / 12</t>
      </text>
    </comment>
    <comment ref="E35" authorId="0" shapeId="0">
      <text>
        <t>Loan: Paccar, 1 T680. Principal = MIN(Opening, Payment - Interest)</t>
      </text>
    </comment>
    <comment ref="F35" authorId="0" shapeId="0">
      <text>
        <t>Loan: Paccar, 1 T680. Closing = Opening - Principal</t>
      </text>
    </comment>
    <comment ref="C36" authorId="0" shapeId="0">
      <text>
        <t>Links to: Prior month closing balance row 35</t>
      </text>
    </comment>
    <comment ref="D36" authorId="0" shapeId="0">
      <text>
        <t>Loan: Paccar, 1 T680. Interest = Opening * Annual Rate / 12</t>
      </text>
    </comment>
    <comment ref="E36" authorId="0" shapeId="0">
      <text>
        <t>Loan: Paccar, 1 T680. Principal = MIN(Opening, Payment - Interest)</t>
      </text>
    </comment>
    <comment ref="F36" authorId="0" shapeId="0">
      <text>
        <t>Loan: Paccar, 1 T680. Closing = Opening - Principal</t>
      </text>
    </comment>
    <comment ref="C37" authorId="0" shapeId="0">
      <text>
        <t>Links to: Prior month closing balance row 36</t>
      </text>
    </comment>
    <comment ref="D37" authorId="0" shapeId="0">
      <text>
        <t>Loan: Paccar, 1 T680. Interest = Opening * Annual Rate / 12</t>
      </text>
    </comment>
    <comment ref="E37" authorId="0" shapeId="0">
      <text>
        <t>Loan: Paccar, 1 T680. Principal = MIN(Opening, Payment - Interest)</t>
      </text>
    </comment>
    <comment ref="F37" authorId="0" shapeId="0">
      <text>
        <t>Loan: Paccar, 1 T680. Closing = Opening - Principal</t>
      </text>
    </comment>
    <comment ref="C38" authorId="0" shapeId="0">
      <text>
        <t>Links to: Prior month closing balance row 37</t>
      </text>
    </comment>
    <comment ref="D38" authorId="0" shapeId="0">
      <text>
        <t>Loan: Paccar, 1 T680. Interest = Opening * Annual Rate / 12</t>
      </text>
    </comment>
    <comment ref="E38" authorId="0" shapeId="0">
      <text>
        <t>Loan: Paccar, 1 T680. Principal = MIN(Opening, Payment - Interest)</t>
      </text>
    </comment>
    <comment ref="F38" authorId="0" shapeId="0">
      <text>
        <t>Loan: Paccar, 1 T680. Closing = Opening - Principal</t>
      </text>
    </comment>
    <comment ref="C39" authorId="0" shapeId="0">
      <text>
        <t>Links to: Prior month closing balance row 38</t>
      </text>
    </comment>
    <comment ref="D39" authorId="0" shapeId="0">
      <text>
        <t>Loan: Paccar, 1 T680. Interest = Opening * Annual Rate / 12</t>
      </text>
    </comment>
    <comment ref="E39" authorId="0" shapeId="0">
      <text>
        <t>Loan: Paccar, 1 T680. Principal = MIN(Opening, Payment - Interest)</t>
      </text>
    </comment>
    <comment ref="F39" authorId="0" shapeId="0">
      <text>
        <t>Loan: Paccar, 1 T680. Closing = Opening - Principal</t>
      </text>
    </comment>
    <comment ref="C40" authorId="0" shapeId="0">
      <text>
        <t>Links to: Prior month closing balance row 39</t>
      </text>
    </comment>
    <comment ref="D40" authorId="0" shapeId="0">
      <text>
        <t>Loan: Paccar, 1 T680. Interest = Opening * Annual Rate / 12</t>
      </text>
    </comment>
    <comment ref="E40" authorId="0" shapeId="0">
      <text>
        <t>Loan: Paccar, 1 T680. Principal = MIN(Opening, Payment - Interest)</t>
      </text>
    </comment>
    <comment ref="F40" authorId="0" shapeId="0">
      <text>
        <t>Loan: Paccar, 1 T680. Closing = Opening - Principal</t>
      </text>
    </comment>
    <comment ref="C41" authorId="0" shapeId="0">
      <text>
        <t>Links to: Prior month closing balance row 40</t>
      </text>
    </comment>
    <comment ref="D41" authorId="0" shapeId="0">
      <text>
        <t>Loan: Paccar, 1 T680. Interest = Opening * Annual Rate / 12</t>
      </text>
    </comment>
    <comment ref="E41" authorId="0" shapeId="0">
      <text>
        <t>Loan: Paccar, 1 T680. Principal = MIN(Opening, Payment - Interest)</t>
      </text>
    </comment>
    <comment ref="F41" authorId="0" shapeId="0">
      <text>
        <t>Loan: Paccar, 1 T680. Closing = Opening - Principal</t>
      </text>
    </comment>
    <comment ref="C42" authorId="0" shapeId="0">
      <text>
        <t>Links to: Prior month closing balance row 41</t>
      </text>
    </comment>
    <comment ref="D42" authorId="0" shapeId="0">
      <text>
        <t>Loan: Paccar, 1 T680. Interest = Opening * Annual Rate / 12</t>
      </text>
    </comment>
    <comment ref="E42" authorId="0" shapeId="0">
      <text>
        <t>Loan: Paccar, 1 T680. Principal = MIN(Opening, Payment - Interest)</t>
      </text>
    </comment>
    <comment ref="F42" authorId="0" shapeId="0">
      <text>
        <t>Loan: Paccar, 1 T680. Closing = Opening - Principal</t>
      </text>
    </comment>
    <comment ref="C43" authorId="0" shapeId="0">
      <text>
        <t>Links to: Prior month closing balance row 42</t>
      </text>
    </comment>
    <comment ref="D43" authorId="0" shapeId="0">
      <text>
        <t>Loan: Paccar, 1 T680. Interest = Opening * Annual Rate / 12</t>
      </text>
    </comment>
    <comment ref="E43" authorId="0" shapeId="0">
      <text>
        <t>Loan: Paccar, 1 T680. Principal = MIN(Opening, Payment - Interest)</t>
      </text>
    </comment>
    <comment ref="F43" authorId="0" shapeId="0">
      <text>
        <t>Loan: Paccar, 1 T680. Closing = Opening - Principal</t>
      </text>
    </comment>
    <comment ref="C44" authorId="0" shapeId="0">
      <text>
        <t>Links to: Prior month closing balance row 43</t>
      </text>
    </comment>
    <comment ref="D44" authorId="0" shapeId="0">
      <text>
        <t>Loan: Paccar, 1 T680. Interest = Opening * Annual Rate / 12</t>
      </text>
    </comment>
    <comment ref="E44" authorId="0" shapeId="0">
      <text>
        <t>Loan: Paccar, 1 T680. Principal = MIN(Opening, Payment - Interest)</t>
      </text>
    </comment>
    <comment ref="F44" authorId="0" shapeId="0">
      <text>
        <t>Loan: Paccar, 1 T680. Closing = Opening - Principal</t>
      </text>
    </comment>
    <comment ref="C45" authorId="0" shapeId="0">
      <text>
        <t>Links to: Prior month closing balance row 44</t>
      </text>
    </comment>
    <comment ref="D45" authorId="0" shapeId="0">
      <text>
        <t>Loan: Paccar, 1 T680. Interest = Opening * Annual Rate / 12</t>
      </text>
    </comment>
    <comment ref="E45" authorId="0" shapeId="0">
      <text>
        <t>Loan: Paccar, 1 T680. Principal = MIN(Opening, Payment - Interest)</t>
      </text>
    </comment>
    <comment ref="F45" authorId="0" shapeId="0">
      <text>
        <t>Loan: Paccar, 1 T680. Closing = Opening - Principal</t>
      </text>
    </comment>
    <comment ref="C50" authorId="0" shapeId="0">
      <text>
        <t>Sum of rows 23-34: Annual opening balance</t>
      </text>
    </comment>
    <comment ref="D50" authorId="0" shapeId="0">
      <text>
        <t>Sum of rows 23-34: Annual interest expense</t>
      </text>
    </comment>
    <comment ref="E50" authorId="0" shapeId="0">
      <text>
        <t>Sum of rows 23-34: Annual principal repayment</t>
      </text>
    </comment>
    <comment ref="F50" authorId="0" shapeId="0">
      <text>
        <t>Sum of rows 23-34: Year-end closing balance</t>
      </text>
    </comment>
    <comment ref="C51" authorId="0" shapeId="0">
      <text>
        <t>Sum of rows 35-45: Annual opening balance</t>
      </text>
    </comment>
    <comment ref="D51" authorId="0" shapeId="0">
      <text>
        <t>Sum of rows 35-45: Annual interest expense</t>
      </text>
    </comment>
    <comment ref="E51" authorId="0" shapeId="0">
      <text>
        <t>Sum of rows 35-45: Annual principal repayment</t>
      </text>
    </comment>
    <comment ref="F51" authorId="0" shapeId="0">
      <text>
        <t>Sum of rows 35-45: Year-end closing balance</t>
      </text>
    </comment>
    <comment ref="B54" authorId="0" shapeId="0">
      <text>
        <t>Links to: Year-end 2026 closing balance for Debt Schedule reference</t>
      </text>
    </comment>
  </commentList>
</comments>
</file>

<file path=xl/comments/comment22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loans.md, Paccar Loan 11
Extracted: 2026-05-14</t>
      </text>
    </comment>
    <comment ref="B6" authorId="0" shapeId="0">
      <text>
        <t>Loan: Paccar, 5 T680. Source: Meiborg_Debt_Schedule_202512.xlsx
Balance as of 12/31/2025</t>
      </text>
    </comment>
    <comment ref="B7" authorId="0" shapeId="0">
      <text>
        <t>Loan: Paccar, 5 T680. Source: Meiborg_Debt_Schedule_202512.xlsx</t>
      </text>
    </comment>
    <comment ref="B8" authorId="0" shapeId="0">
      <text>
        <t>Loan: Paccar, 5 T680. Source: Meiborg_Debt_Schedule_202512.xlsx</t>
      </text>
    </comment>
    <comment ref="C23" authorId="0" shapeId="0">
      <text>
        <t>Links to: Opening Balance input cell B6</t>
      </text>
    </comment>
    <comment ref="D23" authorId="0" shapeId="0">
      <text>
        <t>Loan: Paccar, 5 T680. Interest = Opening * Annual Rate / 12</t>
      </text>
    </comment>
    <comment ref="E23" authorId="0" shapeId="0">
      <text>
        <t>Loan: Paccar, 5 T680. Principal = MIN(Opening, Payment - Interest)</t>
      </text>
    </comment>
    <comment ref="F23" authorId="0" shapeId="0">
      <text>
        <t>Loan: Paccar, 5 T680. Closing = Opening - Principal</t>
      </text>
    </comment>
    <comment ref="C24" authorId="0" shapeId="0">
      <text>
        <t>Links to: Prior month closing balance row 23</t>
      </text>
    </comment>
    <comment ref="D24" authorId="0" shapeId="0">
      <text>
        <t>Loan: Paccar, 5 T680. Interest = Opening * Annual Rate / 12</t>
      </text>
    </comment>
    <comment ref="E24" authorId="0" shapeId="0">
      <text>
        <t>Loan: Paccar, 5 T680. Principal = MIN(Opening, Payment - Interest)</t>
      </text>
    </comment>
    <comment ref="F24" authorId="0" shapeId="0">
      <text>
        <t>Loan: Paccar, 5 T680. Closing = Opening - Principal</t>
      </text>
    </comment>
    <comment ref="C25" authorId="0" shapeId="0">
      <text>
        <t>Links to: Prior month closing balance row 24</t>
      </text>
    </comment>
    <comment ref="D25" authorId="0" shapeId="0">
      <text>
        <t>Loan: Paccar, 5 T680. Interest = Opening * Annual Rate / 12</t>
      </text>
    </comment>
    <comment ref="E25" authorId="0" shapeId="0">
      <text>
        <t>Loan: Paccar, 5 T680. Principal = MIN(Opening, Payment - Interest)</t>
      </text>
    </comment>
    <comment ref="F25" authorId="0" shapeId="0">
      <text>
        <t>Loan: Paccar, 5 T680. Closing = Opening - Principal</t>
      </text>
    </comment>
    <comment ref="C26" authorId="0" shapeId="0">
      <text>
        <t>Links to: Prior month closing balance row 25</t>
      </text>
    </comment>
    <comment ref="D26" authorId="0" shapeId="0">
      <text>
        <t>Loan: Paccar, 5 T680. Interest = Opening * Annual Rate / 12</t>
      </text>
    </comment>
    <comment ref="E26" authorId="0" shapeId="0">
      <text>
        <t>Loan: Paccar, 5 T680. Principal = MIN(Opening, Payment - Interest)</t>
      </text>
    </comment>
    <comment ref="F26" authorId="0" shapeId="0">
      <text>
        <t>Loan: Paccar, 5 T680. Closing = Opening - Principal</t>
      </text>
    </comment>
    <comment ref="C27" authorId="0" shapeId="0">
      <text>
        <t>Links to: Prior month closing balance row 26</t>
      </text>
    </comment>
    <comment ref="D27" authorId="0" shapeId="0">
      <text>
        <t>Loan: Paccar, 5 T680. Interest = Opening * Annual Rate / 12</t>
      </text>
    </comment>
    <comment ref="E27" authorId="0" shapeId="0">
      <text>
        <t>Loan: Paccar, 5 T680. Principal = MIN(Opening, Payment - Interest)</t>
      </text>
    </comment>
    <comment ref="F27" authorId="0" shapeId="0">
      <text>
        <t>Loan: Paccar, 5 T680. Closing = Opening - Principal</t>
      </text>
    </comment>
    <comment ref="C28" authorId="0" shapeId="0">
      <text>
        <t>Links to: Prior month closing balance row 27</t>
      </text>
    </comment>
    <comment ref="D28" authorId="0" shapeId="0">
      <text>
        <t>Loan: Paccar, 5 T680. Interest = Opening * Annual Rate / 12</t>
      </text>
    </comment>
    <comment ref="E28" authorId="0" shapeId="0">
      <text>
        <t>Loan: Paccar, 5 T680. Principal = MIN(Opening, Payment - Interest)</t>
      </text>
    </comment>
    <comment ref="F28" authorId="0" shapeId="0">
      <text>
        <t>Loan: Paccar, 5 T680. Closing = Opening - Principal</t>
      </text>
    </comment>
    <comment ref="C29" authorId="0" shapeId="0">
      <text>
        <t>Links to: Prior month closing balance row 28</t>
      </text>
    </comment>
    <comment ref="D29" authorId="0" shapeId="0">
      <text>
        <t>Loan: Paccar, 5 T680. Interest = Opening * Annual Rate / 12</t>
      </text>
    </comment>
    <comment ref="E29" authorId="0" shapeId="0">
      <text>
        <t>Loan: Paccar, 5 T680. Principal = MIN(Opening, Payment - Interest)</t>
      </text>
    </comment>
    <comment ref="F29" authorId="0" shapeId="0">
      <text>
        <t>Loan: Paccar, 5 T680. Closing = Opening - Principal</t>
      </text>
    </comment>
    <comment ref="C30" authorId="0" shapeId="0">
      <text>
        <t>Links to: Prior month closing balance row 29</t>
      </text>
    </comment>
    <comment ref="D30" authorId="0" shapeId="0">
      <text>
        <t>Loan: Paccar, 5 T680. Interest = Opening * Annual Rate / 12</t>
      </text>
    </comment>
    <comment ref="E30" authorId="0" shapeId="0">
      <text>
        <t>Loan: Paccar, 5 T680. Principal = MIN(Opening, Payment - Interest)</t>
      </text>
    </comment>
    <comment ref="F30" authorId="0" shapeId="0">
      <text>
        <t>Loan: Paccar, 5 T680. Closing = Opening - Principal</t>
      </text>
    </comment>
    <comment ref="C31" authorId="0" shapeId="0">
      <text>
        <t>Links to: Prior month closing balance row 30</t>
      </text>
    </comment>
    <comment ref="D31" authorId="0" shapeId="0">
      <text>
        <t>Loan: Paccar, 5 T680. Interest = Opening * Annual Rate / 12</t>
      </text>
    </comment>
    <comment ref="E31" authorId="0" shapeId="0">
      <text>
        <t>Loan: Paccar, 5 T680. Principal = MIN(Opening, Payment - Interest)</t>
      </text>
    </comment>
    <comment ref="F31" authorId="0" shapeId="0">
      <text>
        <t>Loan: Paccar, 5 T680. Closing = Opening - Principal</t>
      </text>
    </comment>
    <comment ref="C32" authorId="0" shapeId="0">
      <text>
        <t>Links to: Prior month closing balance row 31</t>
      </text>
    </comment>
    <comment ref="D32" authorId="0" shapeId="0">
      <text>
        <t>Loan: Paccar, 5 T680. Interest = Opening * Annual Rate / 12</t>
      </text>
    </comment>
    <comment ref="E32" authorId="0" shapeId="0">
      <text>
        <t>Loan: Paccar, 5 T680. Principal = MIN(Opening, Payment - Interest)</t>
      </text>
    </comment>
    <comment ref="F32" authorId="0" shapeId="0">
      <text>
        <t>Loan: Paccar, 5 T680. Closing = Opening - Principal</t>
      </text>
    </comment>
    <comment ref="C33" authorId="0" shapeId="0">
      <text>
        <t>Links to: Prior month closing balance row 32</t>
      </text>
    </comment>
    <comment ref="D33" authorId="0" shapeId="0">
      <text>
        <t>Loan: Paccar, 5 T680. Interest = Opening * Annual Rate / 12</t>
      </text>
    </comment>
    <comment ref="E33" authorId="0" shapeId="0">
      <text>
        <t>Loan: Paccar, 5 T680. Principal = MIN(Opening, Payment - Interest)</t>
      </text>
    </comment>
    <comment ref="F33" authorId="0" shapeId="0">
      <text>
        <t>Loan: Paccar, 5 T680. Closing = Opening - Principal</t>
      </text>
    </comment>
    <comment ref="C34" authorId="0" shapeId="0">
      <text>
        <t>Links to: Prior month closing balance row 33</t>
      </text>
    </comment>
    <comment ref="D34" authorId="0" shapeId="0">
      <text>
        <t>Loan: Paccar, 5 T680. Interest = Opening * Annual Rate / 12</t>
      </text>
    </comment>
    <comment ref="E34" authorId="0" shapeId="0">
      <text>
        <t>Loan: Paccar, 5 T680. Principal = MIN(Opening, Payment - Interest)</t>
      </text>
    </comment>
    <comment ref="F34" authorId="0" shapeId="0">
      <text>
        <t>Loan: Paccar, 5 T680. Closing = Opening - Principal</t>
      </text>
    </comment>
    <comment ref="C35" authorId="0" shapeId="0">
      <text>
        <t>Links to: Prior month closing balance row 34</t>
      </text>
    </comment>
    <comment ref="D35" authorId="0" shapeId="0">
      <text>
        <t>Loan: Paccar, 5 T680. Interest = Opening * Annual Rate / 12</t>
      </text>
    </comment>
    <comment ref="E35" authorId="0" shapeId="0">
      <text>
        <t>Loan: Paccar, 5 T680. Principal = MIN(Opening, Payment - Interest)</t>
      </text>
    </comment>
    <comment ref="F35" authorId="0" shapeId="0">
      <text>
        <t>Loan: Paccar, 5 T680. Closing = Opening - Principal</t>
      </text>
    </comment>
    <comment ref="C36" authorId="0" shapeId="0">
      <text>
        <t>Links to: Prior month closing balance row 35</t>
      </text>
    </comment>
    <comment ref="D36" authorId="0" shapeId="0">
      <text>
        <t>Loan: Paccar, 5 T680. Interest = Opening * Annual Rate / 12</t>
      </text>
    </comment>
    <comment ref="E36" authorId="0" shapeId="0">
      <text>
        <t>Loan: Paccar, 5 T680. Principal = MIN(Opening, Payment - Interest)</t>
      </text>
    </comment>
    <comment ref="F36" authorId="0" shapeId="0">
      <text>
        <t>Loan: Paccar, 5 T680. Closing = Opening - Principal</t>
      </text>
    </comment>
    <comment ref="C37" authorId="0" shapeId="0">
      <text>
        <t>Links to: Prior month closing balance row 36</t>
      </text>
    </comment>
    <comment ref="D37" authorId="0" shapeId="0">
      <text>
        <t>Loan: Paccar, 5 T680. Interest = Opening * Annual Rate / 12</t>
      </text>
    </comment>
    <comment ref="E37" authorId="0" shapeId="0">
      <text>
        <t>Loan: Paccar, 5 T680. Principal = MIN(Opening, Payment - Interest)</t>
      </text>
    </comment>
    <comment ref="F37" authorId="0" shapeId="0">
      <text>
        <t>Loan: Paccar, 5 T680. Closing = Opening - Principal</t>
      </text>
    </comment>
    <comment ref="C38" authorId="0" shapeId="0">
      <text>
        <t>Links to: Prior month closing balance row 37</t>
      </text>
    </comment>
    <comment ref="D38" authorId="0" shapeId="0">
      <text>
        <t>Loan: Paccar, 5 T680. Interest = Opening * Annual Rate / 12</t>
      </text>
    </comment>
    <comment ref="E38" authorId="0" shapeId="0">
      <text>
        <t>Loan: Paccar, 5 T680. Principal = MIN(Opening, Payment - Interest)</t>
      </text>
    </comment>
    <comment ref="F38" authorId="0" shapeId="0">
      <text>
        <t>Loan: Paccar, 5 T680. Closing = Opening - Principal</t>
      </text>
    </comment>
    <comment ref="C39" authorId="0" shapeId="0">
      <text>
        <t>Links to: Prior month closing balance row 38</t>
      </text>
    </comment>
    <comment ref="D39" authorId="0" shapeId="0">
      <text>
        <t>Loan: Paccar, 5 T680. Interest = Opening * Annual Rate / 12</t>
      </text>
    </comment>
    <comment ref="E39" authorId="0" shapeId="0">
      <text>
        <t>Loan: Paccar, 5 T680. Principal = MIN(Opening, Payment - Interest)</t>
      </text>
    </comment>
    <comment ref="F39" authorId="0" shapeId="0">
      <text>
        <t>Loan: Paccar, 5 T680. Closing = Opening - Principal</t>
      </text>
    </comment>
    <comment ref="C40" authorId="0" shapeId="0">
      <text>
        <t>Links to: Prior month closing balance row 39</t>
      </text>
    </comment>
    <comment ref="D40" authorId="0" shapeId="0">
      <text>
        <t>Loan: Paccar, 5 T680. Interest = Opening * Annual Rate / 12</t>
      </text>
    </comment>
    <comment ref="E40" authorId="0" shapeId="0">
      <text>
        <t>Loan: Paccar, 5 T680. Principal = MIN(Opening, Payment - Interest)</t>
      </text>
    </comment>
    <comment ref="F40" authorId="0" shapeId="0">
      <text>
        <t>Loan: Paccar, 5 T680. Closing = Opening - Principal</t>
      </text>
    </comment>
    <comment ref="C41" authorId="0" shapeId="0">
      <text>
        <t>Links to: Prior month closing balance row 40</t>
      </text>
    </comment>
    <comment ref="D41" authorId="0" shapeId="0">
      <text>
        <t>Loan: Paccar, 5 T680. Interest = Opening * Annual Rate / 12</t>
      </text>
    </comment>
    <comment ref="E41" authorId="0" shapeId="0">
      <text>
        <t>Loan: Paccar, 5 T680. Principal = MIN(Opening, Payment - Interest)</t>
      </text>
    </comment>
    <comment ref="F41" authorId="0" shapeId="0">
      <text>
        <t>Loan: Paccar, 5 T680. Closing = Opening - Principal</t>
      </text>
    </comment>
    <comment ref="C42" authorId="0" shapeId="0">
      <text>
        <t>Links to: Prior month closing balance row 41</t>
      </text>
    </comment>
    <comment ref="D42" authorId="0" shapeId="0">
      <text>
        <t>Loan: Paccar, 5 T680. Interest = Opening * Annual Rate / 12</t>
      </text>
    </comment>
    <comment ref="E42" authorId="0" shapeId="0">
      <text>
        <t>Loan: Paccar, 5 T680. Principal = MIN(Opening, Payment - Interest)</t>
      </text>
    </comment>
    <comment ref="F42" authorId="0" shapeId="0">
      <text>
        <t>Loan: Paccar, 5 T680. Closing = Opening - Principal</t>
      </text>
    </comment>
    <comment ref="C43" authorId="0" shapeId="0">
      <text>
        <t>Links to: Prior month closing balance row 42</t>
      </text>
    </comment>
    <comment ref="D43" authorId="0" shapeId="0">
      <text>
        <t>Loan: Paccar, 5 T680. Interest = Opening * Annual Rate / 12</t>
      </text>
    </comment>
    <comment ref="E43" authorId="0" shapeId="0">
      <text>
        <t>Loan: Paccar, 5 T680. Principal = MIN(Opening, Payment - Interest)</t>
      </text>
    </comment>
    <comment ref="F43" authorId="0" shapeId="0">
      <text>
        <t>Loan: Paccar, 5 T680. Closing = Opening - Principal</t>
      </text>
    </comment>
    <comment ref="C44" authorId="0" shapeId="0">
      <text>
        <t>Links to: Prior month closing balance row 43</t>
      </text>
    </comment>
    <comment ref="D44" authorId="0" shapeId="0">
      <text>
        <t>Loan: Paccar, 5 T680. Interest = Opening * Annual Rate / 12</t>
      </text>
    </comment>
    <comment ref="E44" authorId="0" shapeId="0">
      <text>
        <t>Loan: Paccar, 5 T680. Principal = MIN(Opening, Payment - Interest)</t>
      </text>
    </comment>
    <comment ref="F44" authorId="0" shapeId="0">
      <text>
        <t>Loan: Paccar, 5 T680. Closing = Opening - Principal</t>
      </text>
    </comment>
    <comment ref="C45" authorId="0" shapeId="0">
      <text>
        <t>Links to: Prior month closing balance row 44</t>
      </text>
    </comment>
    <comment ref="D45" authorId="0" shapeId="0">
      <text>
        <t>Loan: Paccar, 5 T680. Interest = Opening * Annual Rate / 12</t>
      </text>
    </comment>
    <comment ref="E45" authorId="0" shapeId="0">
      <text>
        <t>Loan: Paccar, 5 T680. Principal = MIN(Opening, Payment - Interest)</t>
      </text>
    </comment>
    <comment ref="F45" authorId="0" shapeId="0">
      <text>
        <t>Loan: Paccar, 5 T680. Closing = Opening - Principal</t>
      </text>
    </comment>
    <comment ref="C46" authorId="0" shapeId="0">
      <text>
        <t>Links to: Prior month closing balance row 45</t>
      </text>
    </comment>
    <comment ref="D46" authorId="0" shapeId="0">
      <text>
        <t>Loan: Paccar, 5 T680. Interest = Opening * Annual Rate / 12</t>
      </text>
    </comment>
    <comment ref="E46" authorId="0" shapeId="0">
      <text>
        <t>Loan: Paccar, 5 T680. Principal = MIN(Opening, Payment - Interest)</t>
      </text>
    </comment>
    <comment ref="F46" authorId="0" shapeId="0">
      <text>
        <t>Loan: Paccar, 5 T680. Closing = Opening - Principal</t>
      </text>
    </comment>
    <comment ref="C47" authorId="0" shapeId="0">
      <text>
        <t>Links to: Prior month closing balance row 46</t>
      </text>
    </comment>
    <comment ref="D47" authorId="0" shapeId="0">
      <text>
        <t>Loan: Paccar, 5 T680. Interest = Opening * Annual Rate / 12</t>
      </text>
    </comment>
    <comment ref="E47" authorId="0" shapeId="0">
      <text>
        <t>Loan: Paccar, 5 T680. Principal = MIN(Opening, Payment - Interest)</t>
      </text>
    </comment>
    <comment ref="F47" authorId="0" shapeId="0">
      <text>
        <t>Loan: Paccar, 5 T680. Closing = Opening - Principal</t>
      </text>
    </comment>
    <comment ref="C48" authorId="0" shapeId="0">
      <text>
        <t>Links to: Prior month closing balance row 47</t>
      </text>
    </comment>
    <comment ref="D48" authorId="0" shapeId="0">
      <text>
        <t>Loan: Paccar, 5 T680. Interest = Opening * Annual Rate / 12</t>
      </text>
    </comment>
    <comment ref="E48" authorId="0" shapeId="0">
      <text>
        <t>Loan: Paccar, 5 T680. Principal = MIN(Opening, Payment - Interest)</t>
      </text>
    </comment>
    <comment ref="F48" authorId="0" shapeId="0">
      <text>
        <t>Loan: Paccar, 5 T680. Closing = Opening - Principal</t>
      </text>
    </comment>
    <comment ref="C49" authorId="0" shapeId="0">
      <text>
        <t>Links to: Prior month closing balance row 48</t>
      </text>
    </comment>
    <comment ref="D49" authorId="0" shapeId="0">
      <text>
        <t>Loan: Paccar, 5 T680. Interest = Opening * Annual Rate / 12</t>
      </text>
    </comment>
    <comment ref="E49" authorId="0" shapeId="0">
      <text>
        <t>Loan: Paccar, 5 T680. Principal = MIN(Opening, Payment - Interest)</t>
      </text>
    </comment>
    <comment ref="F49" authorId="0" shapeId="0">
      <text>
        <t>Loan: Paccar, 5 T680. Closing = Opening - Principal</t>
      </text>
    </comment>
    <comment ref="C50" authorId="0" shapeId="0">
      <text>
        <t>Links to: Prior month closing balance row 49</t>
      </text>
    </comment>
    <comment ref="D50" authorId="0" shapeId="0">
      <text>
        <t>Loan: Paccar, 5 T680. Interest = Opening * Annual Rate / 12</t>
      </text>
    </comment>
    <comment ref="E50" authorId="0" shapeId="0">
      <text>
        <t>Loan: Paccar, 5 T680. Principal = MIN(Opening, Payment - Interest)</t>
      </text>
    </comment>
    <comment ref="F50" authorId="0" shapeId="0">
      <text>
        <t>Loan: Paccar, 5 T680. Closing = Opening - Principal</t>
      </text>
    </comment>
    <comment ref="C51" authorId="0" shapeId="0">
      <text>
        <t>Links to: Prior month closing balance row 50</t>
      </text>
    </comment>
    <comment ref="D51" authorId="0" shapeId="0">
      <text>
        <t>Loan: Paccar, 5 T680. Interest = Opening * Annual Rate / 12</t>
      </text>
    </comment>
    <comment ref="E51" authorId="0" shapeId="0">
      <text>
        <t>Loan: Paccar, 5 T680. Principal = MIN(Opening, Payment - Interest)</t>
      </text>
    </comment>
    <comment ref="F51" authorId="0" shapeId="0">
      <text>
        <t>Loan: Paccar, 5 T680. Closing = Opening - Principal</t>
      </text>
    </comment>
    <comment ref="C52" authorId="0" shapeId="0">
      <text>
        <t>Links to: Prior month closing balance row 51</t>
      </text>
    </comment>
    <comment ref="D52" authorId="0" shapeId="0">
      <text>
        <t>Loan: Paccar, 5 T680. Interest = Opening * Annual Rate / 12</t>
      </text>
    </comment>
    <comment ref="E52" authorId="0" shapeId="0">
      <text>
        <t>Loan: Paccar, 5 T680. Principal = MIN(Opening, Payment - Interest)</t>
      </text>
    </comment>
    <comment ref="F52" authorId="0" shapeId="0">
      <text>
        <t>Loan: Paccar, 5 T680. Closing = Opening - Principal</t>
      </text>
    </comment>
    <comment ref="C53" authorId="0" shapeId="0">
      <text>
        <t>Links to: Prior month closing balance row 52</t>
      </text>
    </comment>
    <comment ref="D53" authorId="0" shapeId="0">
      <text>
        <t>Loan: Paccar, 5 T680. Interest = Opening * Annual Rate / 12</t>
      </text>
    </comment>
    <comment ref="E53" authorId="0" shapeId="0">
      <text>
        <t>Loan: Paccar, 5 T680. Principal = MIN(Opening, Payment - Interest)</t>
      </text>
    </comment>
    <comment ref="F53" authorId="0" shapeId="0">
      <text>
        <t>Loan: Paccar, 5 T680. Closing = Opening - Principal</t>
      </text>
    </comment>
    <comment ref="C54" authorId="0" shapeId="0">
      <text>
        <t>Links to: Prior month closing balance row 53</t>
      </text>
    </comment>
    <comment ref="D54" authorId="0" shapeId="0">
      <text>
        <t>Loan: Paccar, 5 T680. Interest = Opening * Annual Rate / 12</t>
      </text>
    </comment>
    <comment ref="E54" authorId="0" shapeId="0">
      <text>
        <t>Loan: Paccar, 5 T680. Principal = MIN(Opening, Payment - Interest)</t>
      </text>
    </comment>
    <comment ref="F54" authorId="0" shapeId="0">
      <text>
        <t>Loan: Paccar, 5 T680. Closing = Opening - Principal</t>
      </text>
    </comment>
    <comment ref="C59" authorId="0" shapeId="0">
      <text>
        <t>Sum of rows 23-34: Annual opening balance</t>
      </text>
    </comment>
    <comment ref="D59" authorId="0" shapeId="0">
      <text>
        <t>Sum of rows 23-34: Annual interest expense</t>
      </text>
    </comment>
    <comment ref="E59" authorId="0" shapeId="0">
      <text>
        <t>Sum of rows 23-34: Annual principal repayment</t>
      </text>
    </comment>
    <comment ref="F59" authorId="0" shapeId="0">
      <text>
        <t>Sum of rows 23-34: Year-end closing balance</t>
      </text>
    </comment>
    <comment ref="C60" authorId="0" shapeId="0">
      <text>
        <t>Sum of rows 35-46: Annual opening balance</t>
      </text>
    </comment>
    <comment ref="D60" authorId="0" shapeId="0">
      <text>
        <t>Sum of rows 35-46: Annual interest expense</t>
      </text>
    </comment>
    <comment ref="E60" authorId="0" shapeId="0">
      <text>
        <t>Sum of rows 35-46: Annual principal repayment</t>
      </text>
    </comment>
    <comment ref="F60" authorId="0" shapeId="0">
      <text>
        <t>Sum of rows 35-46: Year-end closing balance</t>
      </text>
    </comment>
    <comment ref="C61" authorId="0" shapeId="0">
      <text>
        <t>Sum of rows 47-54: Annual opening balance</t>
      </text>
    </comment>
    <comment ref="D61" authorId="0" shapeId="0">
      <text>
        <t>Sum of rows 47-54: Annual interest expense</t>
      </text>
    </comment>
    <comment ref="E61" authorId="0" shapeId="0">
      <text>
        <t>Sum of rows 47-54: Annual principal repayment</t>
      </text>
    </comment>
    <comment ref="F61" authorId="0" shapeId="0">
      <text>
        <t>Sum of rows 47-54: Year-end closing balance</t>
      </text>
    </comment>
    <comment ref="B64" authorId="0" shapeId="0">
      <text>
        <t>Links to: Year-end 2026 closing balance for Debt Schedule reference</t>
      </text>
    </comment>
  </commentList>
</comments>
</file>

<file path=xl/comments/comment23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loans.md, Paccar Loan 12
Extracted: 2026-05-14</t>
      </text>
    </comment>
    <comment ref="B6" authorId="0" shapeId="0">
      <text>
        <t>Loan: Paccar, 3 T680. Source: Meiborg_Debt_Schedule_202512.xlsx
Balance as of 12/31/2025</t>
      </text>
    </comment>
    <comment ref="B7" authorId="0" shapeId="0">
      <text>
        <t>Loan: Paccar, 3 T680. Source: Meiborg_Debt_Schedule_202512.xlsx</t>
      </text>
    </comment>
    <comment ref="B8" authorId="0" shapeId="0">
      <text>
        <t>Loan: Paccar, 3 T680. Source: Meiborg_Debt_Schedule_202512.xlsx</t>
      </text>
    </comment>
    <comment ref="C23" authorId="0" shapeId="0">
      <text>
        <t>Links to: Opening Balance input cell B6</t>
      </text>
    </comment>
    <comment ref="D23" authorId="0" shapeId="0">
      <text>
        <t>Loan: Paccar, 3 T680. Interest = Opening * Annual Rate / 12</t>
      </text>
    </comment>
    <comment ref="E23" authorId="0" shapeId="0">
      <text>
        <t>Loan: Paccar, 3 T680. Principal = MIN(Opening, Payment - Interest)</t>
      </text>
    </comment>
    <comment ref="F23" authorId="0" shapeId="0">
      <text>
        <t>Loan: Paccar, 3 T680. Closing = Opening - Principal</t>
      </text>
    </comment>
    <comment ref="C24" authorId="0" shapeId="0">
      <text>
        <t>Links to: Prior month closing balance row 23</t>
      </text>
    </comment>
    <comment ref="D24" authorId="0" shapeId="0">
      <text>
        <t>Loan: Paccar, 3 T680. Interest = Opening * Annual Rate / 12</t>
      </text>
    </comment>
    <comment ref="E24" authorId="0" shapeId="0">
      <text>
        <t>Loan: Paccar, 3 T680. Principal = MIN(Opening, Payment - Interest)</t>
      </text>
    </comment>
    <comment ref="F24" authorId="0" shapeId="0">
      <text>
        <t>Loan: Paccar, 3 T680. Closing = Opening - Principal</t>
      </text>
    </comment>
    <comment ref="C25" authorId="0" shapeId="0">
      <text>
        <t>Links to: Prior month closing balance row 24</t>
      </text>
    </comment>
    <comment ref="D25" authorId="0" shapeId="0">
      <text>
        <t>Loan: Paccar, 3 T680. Interest = Opening * Annual Rate / 12</t>
      </text>
    </comment>
    <comment ref="E25" authorId="0" shapeId="0">
      <text>
        <t>Loan: Paccar, 3 T680. Principal = MIN(Opening, Payment - Interest)</t>
      </text>
    </comment>
    <comment ref="F25" authorId="0" shapeId="0">
      <text>
        <t>Loan: Paccar, 3 T680. Closing = Opening - Principal</t>
      </text>
    </comment>
    <comment ref="C26" authorId="0" shapeId="0">
      <text>
        <t>Links to: Prior month closing balance row 25</t>
      </text>
    </comment>
    <comment ref="D26" authorId="0" shapeId="0">
      <text>
        <t>Loan: Paccar, 3 T680. Interest = Opening * Annual Rate / 12</t>
      </text>
    </comment>
    <comment ref="E26" authorId="0" shapeId="0">
      <text>
        <t>Loan: Paccar, 3 T680. Principal = MIN(Opening, Payment - Interest)</t>
      </text>
    </comment>
    <comment ref="F26" authorId="0" shapeId="0">
      <text>
        <t>Loan: Paccar, 3 T680. Closing = Opening - Principal</t>
      </text>
    </comment>
    <comment ref="C27" authorId="0" shapeId="0">
      <text>
        <t>Links to: Prior month closing balance row 26</t>
      </text>
    </comment>
    <comment ref="D27" authorId="0" shapeId="0">
      <text>
        <t>Loan: Paccar, 3 T680. Interest = Opening * Annual Rate / 12</t>
      </text>
    </comment>
    <comment ref="E27" authorId="0" shapeId="0">
      <text>
        <t>Loan: Paccar, 3 T680. Principal = MIN(Opening, Payment - Interest)</t>
      </text>
    </comment>
    <comment ref="F27" authorId="0" shapeId="0">
      <text>
        <t>Loan: Paccar, 3 T680. Closing = Opening - Principal</t>
      </text>
    </comment>
    <comment ref="C28" authorId="0" shapeId="0">
      <text>
        <t>Links to: Prior month closing balance row 27</t>
      </text>
    </comment>
    <comment ref="D28" authorId="0" shapeId="0">
      <text>
        <t>Loan: Paccar, 3 T680. Interest = Opening * Annual Rate / 12</t>
      </text>
    </comment>
    <comment ref="E28" authorId="0" shapeId="0">
      <text>
        <t>Loan: Paccar, 3 T680. Principal = MIN(Opening, Payment - Interest)</t>
      </text>
    </comment>
    <comment ref="F28" authorId="0" shapeId="0">
      <text>
        <t>Loan: Paccar, 3 T680. Closing = Opening - Principal</t>
      </text>
    </comment>
    <comment ref="C29" authorId="0" shapeId="0">
      <text>
        <t>Links to: Prior month closing balance row 28</t>
      </text>
    </comment>
    <comment ref="D29" authorId="0" shapeId="0">
      <text>
        <t>Loan: Paccar, 3 T680. Interest = Opening * Annual Rate / 12</t>
      </text>
    </comment>
    <comment ref="E29" authorId="0" shapeId="0">
      <text>
        <t>Loan: Paccar, 3 T680. Principal = MIN(Opening, Payment - Interest)</t>
      </text>
    </comment>
    <comment ref="F29" authorId="0" shapeId="0">
      <text>
        <t>Loan: Paccar, 3 T680. Closing = Opening - Principal</t>
      </text>
    </comment>
    <comment ref="C30" authorId="0" shapeId="0">
      <text>
        <t>Links to: Prior month closing balance row 29</t>
      </text>
    </comment>
    <comment ref="D30" authorId="0" shapeId="0">
      <text>
        <t>Loan: Paccar, 3 T680. Interest = Opening * Annual Rate / 12</t>
      </text>
    </comment>
    <comment ref="E30" authorId="0" shapeId="0">
      <text>
        <t>Loan: Paccar, 3 T680. Principal = MIN(Opening, Payment - Interest)</t>
      </text>
    </comment>
    <comment ref="F30" authorId="0" shapeId="0">
      <text>
        <t>Loan: Paccar, 3 T680. Closing = Opening - Principal</t>
      </text>
    </comment>
    <comment ref="C31" authorId="0" shapeId="0">
      <text>
        <t>Links to: Prior month closing balance row 30</t>
      </text>
    </comment>
    <comment ref="D31" authorId="0" shapeId="0">
      <text>
        <t>Loan: Paccar, 3 T680. Interest = Opening * Annual Rate / 12</t>
      </text>
    </comment>
    <comment ref="E31" authorId="0" shapeId="0">
      <text>
        <t>Loan: Paccar, 3 T680. Principal = MIN(Opening, Payment - Interest)</t>
      </text>
    </comment>
    <comment ref="F31" authorId="0" shapeId="0">
      <text>
        <t>Loan: Paccar, 3 T680. Closing = Opening - Principal</t>
      </text>
    </comment>
    <comment ref="C32" authorId="0" shapeId="0">
      <text>
        <t>Links to: Prior month closing balance row 31</t>
      </text>
    </comment>
    <comment ref="D32" authorId="0" shapeId="0">
      <text>
        <t>Loan: Paccar, 3 T680. Interest = Opening * Annual Rate / 12</t>
      </text>
    </comment>
    <comment ref="E32" authorId="0" shapeId="0">
      <text>
        <t>Loan: Paccar, 3 T680. Principal = MIN(Opening, Payment - Interest)</t>
      </text>
    </comment>
    <comment ref="F32" authorId="0" shapeId="0">
      <text>
        <t>Loan: Paccar, 3 T680. Closing = Opening - Principal</t>
      </text>
    </comment>
    <comment ref="C33" authorId="0" shapeId="0">
      <text>
        <t>Links to: Prior month closing balance row 32</t>
      </text>
    </comment>
    <comment ref="D33" authorId="0" shapeId="0">
      <text>
        <t>Loan: Paccar, 3 T680. Interest = Opening * Annual Rate / 12</t>
      </text>
    </comment>
    <comment ref="E33" authorId="0" shapeId="0">
      <text>
        <t>Loan: Paccar, 3 T680. Principal = MIN(Opening, Payment - Interest)</t>
      </text>
    </comment>
    <comment ref="F33" authorId="0" shapeId="0">
      <text>
        <t>Loan: Paccar, 3 T680. Closing = Opening - Principal</t>
      </text>
    </comment>
    <comment ref="C34" authorId="0" shapeId="0">
      <text>
        <t>Links to: Prior month closing balance row 33</t>
      </text>
    </comment>
    <comment ref="D34" authorId="0" shapeId="0">
      <text>
        <t>Loan: Paccar, 3 T680. Interest = Opening * Annual Rate / 12</t>
      </text>
    </comment>
    <comment ref="E34" authorId="0" shapeId="0">
      <text>
        <t>Loan: Paccar, 3 T680. Principal = MIN(Opening, Payment - Interest)</t>
      </text>
    </comment>
    <comment ref="F34" authorId="0" shapeId="0">
      <text>
        <t>Loan: Paccar, 3 T680. Closing = Opening - Principal</t>
      </text>
    </comment>
    <comment ref="C35" authorId="0" shapeId="0">
      <text>
        <t>Links to: Prior month closing balance row 34</t>
      </text>
    </comment>
    <comment ref="D35" authorId="0" shapeId="0">
      <text>
        <t>Loan: Paccar, 3 T680. Interest = Opening * Annual Rate / 12</t>
      </text>
    </comment>
    <comment ref="E35" authorId="0" shapeId="0">
      <text>
        <t>Loan: Paccar, 3 T680. Principal = MIN(Opening, Payment - Interest)</t>
      </text>
    </comment>
    <comment ref="F35" authorId="0" shapeId="0">
      <text>
        <t>Loan: Paccar, 3 T680. Closing = Opening - Principal</t>
      </text>
    </comment>
    <comment ref="C36" authorId="0" shapeId="0">
      <text>
        <t>Links to: Prior month closing balance row 35</t>
      </text>
    </comment>
    <comment ref="D36" authorId="0" shapeId="0">
      <text>
        <t>Loan: Paccar, 3 T680. Interest = Opening * Annual Rate / 12</t>
      </text>
    </comment>
    <comment ref="E36" authorId="0" shapeId="0">
      <text>
        <t>Loan: Paccar, 3 T680. Principal = MIN(Opening, Payment - Interest)</t>
      </text>
    </comment>
    <comment ref="F36" authorId="0" shapeId="0">
      <text>
        <t>Loan: Paccar, 3 T680. Closing = Opening - Principal</t>
      </text>
    </comment>
    <comment ref="C37" authorId="0" shapeId="0">
      <text>
        <t>Links to: Prior month closing balance row 36</t>
      </text>
    </comment>
    <comment ref="D37" authorId="0" shapeId="0">
      <text>
        <t>Loan: Paccar, 3 T680. Interest = Opening * Annual Rate / 12</t>
      </text>
    </comment>
    <comment ref="E37" authorId="0" shapeId="0">
      <text>
        <t>Loan: Paccar, 3 T680. Principal = MIN(Opening, Payment - Interest)</t>
      </text>
    </comment>
    <comment ref="F37" authorId="0" shapeId="0">
      <text>
        <t>Loan: Paccar, 3 T680. Closing = Opening - Principal</t>
      </text>
    </comment>
    <comment ref="C38" authorId="0" shapeId="0">
      <text>
        <t>Links to: Prior month closing balance row 37</t>
      </text>
    </comment>
    <comment ref="D38" authorId="0" shapeId="0">
      <text>
        <t>Loan: Paccar, 3 T680. Interest = Opening * Annual Rate / 12</t>
      </text>
    </comment>
    <comment ref="E38" authorId="0" shapeId="0">
      <text>
        <t>Loan: Paccar, 3 T680. Principal = MIN(Opening, Payment - Interest)</t>
      </text>
    </comment>
    <comment ref="F38" authorId="0" shapeId="0">
      <text>
        <t>Loan: Paccar, 3 T680. Closing = Opening - Principal</t>
      </text>
    </comment>
    <comment ref="C39" authorId="0" shapeId="0">
      <text>
        <t>Links to: Prior month closing balance row 38</t>
      </text>
    </comment>
    <comment ref="D39" authorId="0" shapeId="0">
      <text>
        <t>Loan: Paccar, 3 T680. Interest = Opening * Annual Rate / 12</t>
      </text>
    </comment>
    <comment ref="E39" authorId="0" shapeId="0">
      <text>
        <t>Loan: Paccar, 3 T680. Principal = MIN(Opening, Payment - Interest)</t>
      </text>
    </comment>
    <comment ref="F39" authorId="0" shapeId="0">
      <text>
        <t>Loan: Paccar, 3 T680. Closing = Opening - Principal</t>
      </text>
    </comment>
    <comment ref="C40" authorId="0" shapeId="0">
      <text>
        <t>Links to: Prior month closing balance row 39</t>
      </text>
    </comment>
    <comment ref="D40" authorId="0" shapeId="0">
      <text>
        <t>Loan: Paccar, 3 T680. Interest = Opening * Annual Rate / 12</t>
      </text>
    </comment>
    <comment ref="E40" authorId="0" shapeId="0">
      <text>
        <t>Loan: Paccar, 3 T680. Principal = MIN(Opening, Payment - Interest)</t>
      </text>
    </comment>
    <comment ref="F40" authorId="0" shapeId="0">
      <text>
        <t>Loan: Paccar, 3 T680. Closing = Opening - Principal</t>
      </text>
    </comment>
    <comment ref="C41" authorId="0" shapeId="0">
      <text>
        <t>Links to: Prior month closing balance row 40</t>
      </text>
    </comment>
    <comment ref="D41" authorId="0" shapeId="0">
      <text>
        <t>Loan: Paccar, 3 T680. Interest = Opening * Annual Rate / 12</t>
      </text>
    </comment>
    <comment ref="E41" authorId="0" shapeId="0">
      <text>
        <t>Loan: Paccar, 3 T680. Principal = MIN(Opening, Payment - Interest)</t>
      </text>
    </comment>
    <comment ref="F41" authorId="0" shapeId="0">
      <text>
        <t>Loan: Paccar, 3 T680. Closing = Opening - Principal</t>
      </text>
    </comment>
    <comment ref="C42" authorId="0" shapeId="0">
      <text>
        <t>Links to: Prior month closing balance row 41</t>
      </text>
    </comment>
    <comment ref="D42" authorId="0" shapeId="0">
      <text>
        <t>Loan: Paccar, 3 T680. Interest = Opening * Annual Rate / 12</t>
      </text>
    </comment>
    <comment ref="E42" authorId="0" shapeId="0">
      <text>
        <t>Loan: Paccar, 3 T680. Principal = MIN(Opening, Payment - Interest)</t>
      </text>
    </comment>
    <comment ref="F42" authorId="0" shapeId="0">
      <text>
        <t>Loan: Paccar, 3 T680. Closing = Opening - Principal</t>
      </text>
    </comment>
    <comment ref="C43" authorId="0" shapeId="0">
      <text>
        <t>Links to: Prior month closing balance row 42</t>
      </text>
    </comment>
    <comment ref="D43" authorId="0" shapeId="0">
      <text>
        <t>Loan: Paccar, 3 T680. Interest = Opening * Annual Rate / 12</t>
      </text>
    </comment>
    <comment ref="E43" authorId="0" shapeId="0">
      <text>
        <t>Loan: Paccar, 3 T680. Principal = MIN(Opening, Payment - Interest)</t>
      </text>
    </comment>
    <comment ref="F43" authorId="0" shapeId="0">
      <text>
        <t>Loan: Paccar, 3 T680. Closing = Opening - Principal</t>
      </text>
    </comment>
    <comment ref="C44" authorId="0" shapeId="0">
      <text>
        <t>Links to: Prior month closing balance row 43</t>
      </text>
    </comment>
    <comment ref="D44" authorId="0" shapeId="0">
      <text>
        <t>Loan: Paccar, 3 T680. Interest = Opening * Annual Rate / 12</t>
      </text>
    </comment>
    <comment ref="E44" authorId="0" shapeId="0">
      <text>
        <t>Loan: Paccar, 3 T680. Principal = MIN(Opening, Payment - Interest)</t>
      </text>
    </comment>
    <comment ref="F44" authorId="0" shapeId="0">
      <text>
        <t>Loan: Paccar, 3 T680. Closing = Opening - Principal</t>
      </text>
    </comment>
    <comment ref="C45" authorId="0" shapeId="0">
      <text>
        <t>Links to: Prior month closing balance row 44</t>
      </text>
    </comment>
    <comment ref="D45" authorId="0" shapeId="0">
      <text>
        <t>Loan: Paccar, 3 T680. Interest = Opening * Annual Rate / 12</t>
      </text>
    </comment>
    <comment ref="E45" authorId="0" shapeId="0">
      <text>
        <t>Loan: Paccar, 3 T680. Principal = MIN(Opening, Payment - Interest)</t>
      </text>
    </comment>
    <comment ref="F45" authorId="0" shapeId="0">
      <text>
        <t>Loan: Paccar, 3 T680. Closing = Opening - Principal</t>
      </text>
    </comment>
    <comment ref="C46" authorId="0" shapeId="0">
      <text>
        <t>Links to: Prior month closing balance row 45</t>
      </text>
    </comment>
    <comment ref="D46" authorId="0" shapeId="0">
      <text>
        <t>Loan: Paccar, 3 T680. Interest = Opening * Annual Rate / 12</t>
      </text>
    </comment>
    <comment ref="E46" authorId="0" shapeId="0">
      <text>
        <t>Loan: Paccar, 3 T680. Principal = MIN(Opening, Payment - Interest)</t>
      </text>
    </comment>
    <comment ref="F46" authorId="0" shapeId="0">
      <text>
        <t>Loan: Paccar, 3 T680. Closing = Opening - Principal</t>
      </text>
    </comment>
    <comment ref="C47" authorId="0" shapeId="0">
      <text>
        <t>Links to: Prior month closing balance row 46</t>
      </text>
    </comment>
    <comment ref="D47" authorId="0" shapeId="0">
      <text>
        <t>Loan: Paccar, 3 T680. Interest = Opening * Annual Rate / 12</t>
      </text>
    </comment>
    <comment ref="E47" authorId="0" shapeId="0">
      <text>
        <t>Loan: Paccar, 3 T680. Principal = MIN(Opening, Payment - Interest)</t>
      </text>
    </comment>
    <comment ref="F47" authorId="0" shapeId="0">
      <text>
        <t>Loan: Paccar, 3 T680. Closing = Opening - Principal</t>
      </text>
    </comment>
    <comment ref="C48" authorId="0" shapeId="0">
      <text>
        <t>Links to: Prior month closing balance row 47</t>
      </text>
    </comment>
    <comment ref="D48" authorId="0" shapeId="0">
      <text>
        <t>Loan: Paccar, 3 T680. Interest = Opening * Annual Rate / 12</t>
      </text>
    </comment>
    <comment ref="E48" authorId="0" shapeId="0">
      <text>
        <t>Loan: Paccar, 3 T680. Principal = MIN(Opening, Payment - Interest)</t>
      </text>
    </comment>
    <comment ref="F48" authorId="0" shapeId="0">
      <text>
        <t>Loan: Paccar, 3 T680. Closing = Opening - Principal</t>
      </text>
    </comment>
    <comment ref="C49" authorId="0" shapeId="0">
      <text>
        <t>Links to: Prior month closing balance row 48</t>
      </text>
    </comment>
    <comment ref="D49" authorId="0" shapeId="0">
      <text>
        <t>Loan: Paccar, 3 T680. Interest = Opening * Annual Rate / 12</t>
      </text>
    </comment>
    <comment ref="E49" authorId="0" shapeId="0">
      <text>
        <t>Loan: Paccar, 3 T680. Principal = MIN(Opening, Payment - Interest)</t>
      </text>
    </comment>
    <comment ref="F49" authorId="0" shapeId="0">
      <text>
        <t>Loan: Paccar, 3 T680. Closing = Opening - Principal</t>
      </text>
    </comment>
    <comment ref="C50" authorId="0" shapeId="0">
      <text>
        <t>Links to: Prior month closing balance row 49</t>
      </text>
    </comment>
    <comment ref="D50" authorId="0" shapeId="0">
      <text>
        <t>Loan: Paccar, 3 T680. Interest = Opening * Annual Rate / 12</t>
      </text>
    </comment>
    <comment ref="E50" authorId="0" shapeId="0">
      <text>
        <t>Loan: Paccar, 3 T680. Principal = MIN(Opening, Payment - Interest)</t>
      </text>
    </comment>
    <comment ref="F50" authorId="0" shapeId="0">
      <text>
        <t>Loan: Paccar, 3 T680. Closing = Opening - Principal</t>
      </text>
    </comment>
    <comment ref="C51" authorId="0" shapeId="0">
      <text>
        <t>Links to: Prior month closing balance row 50</t>
      </text>
    </comment>
    <comment ref="D51" authorId="0" shapeId="0">
      <text>
        <t>Loan: Paccar, 3 T680. Interest = Opening * Annual Rate / 12</t>
      </text>
    </comment>
    <comment ref="E51" authorId="0" shapeId="0">
      <text>
        <t>Loan: Paccar, 3 T680. Principal = MIN(Opening, Payment - Interest)</t>
      </text>
    </comment>
    <comment ref="F51" authorId="0" shapeId="0">
      <text>
        <t>Loan: Paccar, 3 T680. Closing = Opening - Principal</t>
      </text>
    </comment>
    <comment ref="C52" authorId="0" shapeId="0">
      <text>
        <t>Links to: Prior month closing balance row 51</t>
      </text>
    </comment>
    <comment ref="D52" authorId="0" shapeId="0">
      <text>
        <t>Loan: Paccar, 3 T680. Interest = Opening * Annual Rate / 12</t>
      </text>
    </comment>
    <comment ref="E52" authorId="0" shapeId="0">
      <text>
        <t>Loan: Paccar, 3 T680. Principal = MIN(Opening, Payment - Interest)</t>
      </text>
    </comment>
    <comment ref="F52" authorId="0" shapeId="0">
      <text>
        <t>Loan: Paccar, 3 T680. Closing = Opening - Principal</t>
      </text>
    </comment>
    <comment ref="C53" authorId="0" shapeId="0">
      <text>
        <t>Links to: Prior month closing balance row 52</t>
      </text>
    </comment>
    <comment ref="D53" authorId="0" shapeId="0">
      <text>
        <t>Loan: Paccar, 3 T680. Interest = Opening * Annual Rate / 12</t>
      </text>
    </comment>
    <comment ref="E53" authorId="0" shapeId="0">
      <text>
        <t>Loan: Paccar, 3 T680. Principal = MIN(Opening, Payment - Interest)</t>
      </text>
    </comment>
    <comment ref="F53" authorId="0" shapeId="0">
      <text>
        <t>Loan: Paccar, 3 T680. Closing = Opening - Principal</t>
      </text>
    </comment>
    <comment ref="C54" authorId="0" shapeId="0">
      <text>
        <t>Links to: Prior month closing balance row 53</t>
      </text>
    </comment>
    <comment ref="D54" authorId="0" shapeId="0">
      <text>
        <t>Loan: Paccar, 3 T680. Interest = Opening * Annual Rate / 12</t>
      </text>
    </comment>
    <comment ref="E54" authorId="0" shapeId="0">
      <text>
        <t>Loan: Paccar, 3 T680. Principal = MIN(Opening, Payment - Interest)</t>
      </text>
    </comment>
    <comment ref="F54" authorId="0" shapeId="0">
      <text>
        <t>Loan: Paccar, 3 T680. Closing = Opening - Principal</t>
      </text>
    </comment>
    <comment ref="C55" authorId="0" shapeId="0">
      <text>
        <t>Links to: Prior month closing balance row 54</t>
      </text>
    </comment>
    <comment ref="D55" authorId="0" shapeId="0">
      <text>
        <t>Loan: Paccar, 3 T680. Interest = Opening * Annual Rate / 12</t>
      </text>
    </comment>
    <comment ref="E55" authorId="0" shapeId="0">
      <text>
        <t>Loan: Paccar, 3 T680. Principal = MIN(Opening, Payment - Interest)</t>
      </text>
    </comment>
    <comment ref="F55" authorId="0" shapeId="0">
      <text>
        <t>Loan: Paccar, 3 T680. Closing = Opening - Principal</t>
      </text>
    </comment>
    <comment ref="C60" authorId="0" shapeId="0">
      <text>
        <t>Sum of rows 23-34: Annual opening balance</t>
      </text>
    </comment>
    <comment ref="D60" authorId="0" shapeId="0">
      <text>
        <t>Sum of rows 23-34: Annual interest expense</t>
      </text>
    </comment>
    <comment ref="E60" authorId="0" shapeId="0">
      <text>
        <t>Sum of rows 23-34: Annual principal repayment</t>
      </text>
    </comment>
    <comment ref="F60" authorId="0" shapeId="0">
      <text>
        <t>Sum of rows 23-34: Year-end closing balance</t>
      </text>
    </comment>
    <comment ref="C61" authorId="0" shapeId="0">
      <text>
        <t>Sum of rows 35-46: Annual opening balance</t>
      </text>
    </comment>
    <comment ref="D61" authorId="0" shapeId="0">
      <text>
        <t>Sum of rows 35-46: Annual interest expense</t>
      </text>
    </comment>
    <comment ref="E61" authorId="0" shapeId="0">
      <text>
        <t>Sum of rows 35-46: Annual principal repayment</t>
      </text>
    </comment>
    <comment ref="F61" authorId="0" shapeId="0">
      <text>
        <t>Sum of rows 35-46: Year-end closing balance</t>
      </text>
    </comment>
    <comment ref="C62" authorId="0" shapeId="0">
      <text>
        <t>Sum of rows 47-55: Annual opening balance</t>
      </text>
    </comment>
    <comment ref="D62" authorId="0" shapeId="0">
      <text>
        <t>Sum of rows 47-55: Annual interest expense</t>
      </text>
    </comment>
    <comment ref="E62" authorId="0" shapeId="0">
      <text>
        <t>Sum of rows 47-55: Annual principal repayment</t>
      </text>
    </comment>
    <comment ref="F62" authorId="0" shapeId="0">
      <text>
        <t>Sum of rows 47-55: Year-end closing balance</t>
      </text>
    </comment>
    <comment ref="B65" authorId="0" shapeId="0">
      <text>
        <t>Links to: Year-end 2026 closing balance for Debt Schedule reference</t>
      </text>
    </comment>
  </commentList>
</comments>
</file>

<file path=xl/comments/comment24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loans.md, Paccar Loan 13
Extracted: 2026-05-14</t>
      </text>
    </comment>
    <comment ref="B6" authorId="0" shapeId="0">
      <text>
        <t>Loan: Paccar, 2 T680. Source: Meiborg_Debt_Schedule_202512.xlsx
Balance as of 12/31/2025</t>
      </text>
    </comment>
    <comment ref="B7" authorId="0" shapeId="0">
      <text>
        <t>Loan: Paccar, 2 T680. Source: Meiborg_Debt_Schedule_202512.xlsx</t>
      </text>
    </comment>
    <comment ref="B8" authorId="0" shapeId="0">
      <text>
        <t>Loan: Paccar, 2 T680. Source: Meiborg_Debt_Schedule_202512.xlsx</t>
      </text>
    </comment>
    <comment ref="C23" authorId="0" shapeId="0">
      <text>
        <t>Links to: Opening Balance input cell B6</t>
      </text>
    </comment>
    <comment ref="D23" authorId="0" shapeId="0">
      <text>
        <t>Loan: Paccar, 2 T680. Interest = Opening * Annual Rate / 12</t>
      </text>
    </comment>
    <comment ref="E23" authorId="0" shapeId="0">
      <text>
        <t>Loan: Paccar, 2 T680. Principal = MIN(Opening, Payment - Interest)</t>
      </text>
    </comment>
    <comment ref="F23" authorId="0" shapeId="0">
      <text>
        <t>Loan: Paccar, 2 T680. Closing = Opening - Principal</t>
      </text>
    </comment>
    <comment ref="C24" authorId="0" shapeId="0">
      <text>
        <t>Links to: Prior month closing balance row 23</t>
      </text>
    </comment>
    <comment ref="D24" authorId="0" shapeId="0">
      <text>
        <t>Loan: Paccar, 2 T680. Interest = Opening * Annual Rate / 12</t>
      </text>
    </comment>
    <comment ref="E24" authorId="0" shapeId="0">
      <text>
        <t>Loan: Paccar, 2 T680. Principal = MIN(Opening, Payment - Interest)</t>
      </text>
    </comment>
    <comment ref="F24" authorId="0" shapeId="0">
      <text>
        <t>Loan: Paccar, 2 T680. Closing = Opening - Principal</t>
      </text>
    </comment>
    <comment ref="C25" authorId="0" shapeId="0">
      <text>
        <t>Links to: Prior month closing balance row 24</t>
      </text>
    </comment>
    <comment ref="D25" authorId="0" shapeId="0">
      <text>
        <t>Loan: Paccar, 2 T680. Interest = Opening * Annual Rate / 12</t>
      </text>
    </comment>
    <comment ref="E25" authorId="0" shapeId="0">
      <text>
        <t>Loan: Paccar, 2 T680. Principal = MIN(Opening, Payment - Interest)</t>
      </text>
    </comment>
    <comment ref="F25" authorId="0" shapeId="0">
      <text>
        <t>Loan: Paccar, 2 T680. Closing = Opening - Principal</t>
      </text>
    </comment>
    <comment ref="C26" authorId="0" shapeId="0">
      <text>
        <t>Links to: Prior month closing balance row 25</t>
      </text>
    </comment>
    <comment ref="D26" authorId="0" shapeId="0">
      <text>
        <t>Loan: Paccar, 2 T680. Interest = Opening * Annual Rate / 12</t>
      </text>
    </comment>
    <comment ref="E26" authorId="0" shapeId="0">
      <text>
        <t>Loan: Paccar, 2 T680. Principal = MIN(Opening, Payment - Interest)</t>
      </text>
    </comment>
    <comment ref="F26" authorId="0" shapeId="0">
      <text>
        <t>Loan: Paccar, 2 T680. Closing = Opening - Principal</t>
      </text>
    </comment>
    <comment ref="C27" authorId="0" shapeId="0">
      <text>
        <t>Links to: Prior month closing balance row 26</t>
      </text>
    </comment>
    <comment ref="D27" authorId="0" shapeId="0">
      <text>
        <t>Loan: Paccar, 2 T680. Interest = Opening * Annual Rate / 12</t>
      </text>
    </comment>
    <comment ref="E27" authorId="0" shapeId="0">
      <text>
        <t>Loan: Paccar, 2 T680. Principal = MIN(Opening, Payment - Interest)</t>
      </text>
    </comment>
    <comment ref="F27" authorId="0" shapeId="0">
      <text>
        <t>Loan: Paccar, 2 T680. Closing = Opening - Principal</t>
      </text>
    </comment>
    <comment ref="C28" authorId="0" shapeId="0">
      <text>
        <t>Links to: Prior month closing balance row 27</t>
      </text>
    </comment>
    <comment ref="D28" authorId="0" shapeId="0">
      <text>
        <t>Loan: Paccar, 2 T680. Interest = Opening * Annual Rate / 12</t>
      </text>
    </comment>
    <comment ref="E28" authorId="0" shapeId="0">
      <text>
        <t>Loan: Paccar, 2 T680. Principal = MIN(Opening, Payment - Interest)</t>
      </text>
    </comment>
    <comment ref="F28" authorId="0" shapeId="0">
      <text>
        <t>Loan: Paccar, 2 T680. Closing = Opening - Principal</t>
      </text>
    </comment>
    <comment ref="C29" authorId="0" shapeId="0">
      <text>
        <t>Links to: Prior month closing balance row 28</t>
      </text>
    </comment>
    <comment ref="D29" authorId="0" shapeId="0">
      <text>
        <t>Loan: Paccar, 2 T680. Interest = Opening * Annual Rate / 12</t>
      </text>
    </comment>
    <comment ref="E29" authorId="0" shapeId="0">
      <text>
        <t>Loan: Paccar, 2 T680. Principal = MIN(Opening, Payment - Interest)</t>
      </text>
    </comment>
    <comment ref="F29" authorId="0" shapeId="0">
      <text>
        <t>Loan: Paccar, 2 T680. Closing = Opening - Principal</t>
      </text>
    </comment>
    <comment ref="C30" authorId="0" shapeId="0">
      <text>
        <t>Links to: Prior month closing balance row 29</t>
      </text>
    </comment>
    <comment ref="D30" authorId="0" shapeId="0">
      <text>
        <t>Loan: Paccar, 2 T680. Interest = Opening * Annual Rate / 12</t>
      </text>
    </comment>
    <comment ref="E30" authorId="0" shapeId="0">
      <text>
        <t>Loan: Paccar, 2 T680. Principal = MIN(Opening, Payment - Interest)</t>
      </text>
    </comment>
    <comment ref="F30" authorId="0" shapeId="0">
      <text>
        <t>Loan: Paccar, 2 T680. Closing = Opening - Principal</t>
      </text>
    </comment>
    <comment ref="C31" authorId="0" shapeId="0">
      <text>
        <t>Links to: Prior month closing balance row 30</t>
      </text>
    </comment>
    <comment ref="D31" authorId="0" shapeId="0">
      <text>
        <t>Loan: Paccar, 2 T680. Interest = Opening * Annual Rate / 12</t>
      </text>
    </comment>
    <comment ref="E31" authorId="0" shapeId="0">
      <text>
        <t>Loan: Paccar, 2 T680. Principal = MIN(Opening, Payment - Interest)</t>
      </text>
    </comment>
    <comment ref="F31" authorId="0" shapeId="0">
      <text>
        <t>Loan: Paccar, 2 T680. Closing = Opening - Principal</t>
      </text>
    </comment>
    <comment ref="C32" authorId="0" shapeId="0">
      <text>
        <t>Links to: Prior month closing balance row 31</t>
      </text>
    </comment>
    <comment ref="D32" authorId="0" shapeId="0">
      <text>
        <t>Loan: Paccar, 2 T680. Interest = Opening * Annual Rate / 12</t>
      </text>
    </comment>
    <comment ref="E32" authorId="0" shapeId="0">
      <text>
        <t>Loan: Paccar, 2 T680. Principal = MIN(Opening, Payment - Interest)</t>
      </text>
    </comment>
    <comment ref="F32" authorId="0" shapeId="0">
      <text>
        <t>Loan: Paccar, 2 T680. Closing = Opening - Principal</t>
      </text>
    </comment>
    <comment ref="C33" authorId="0" shapeId="0">
      <text>
        <t>Links to: Prior month closing balance row 32</t>
      </text>
    </comment>
    <comment ref="D33" authorId="0" shapeId="0">
      <text>
        <t>Loan: Paccar, 2 T680. Interest = Opening * Annual Rate / 12</t>
      </text>
    </comment>
    <comment ref="E33" authorId="0" shapeId="0">
      <text>
        <t>Loan: Paccar, 2 T680. Principal = MIN(Opening, Payment - Interest)</t>
      </text>
    </comment>
    <comment ref="F33" authorId="0" shapeId="0">
      <text>
        <t>Loan: Paccar, 2 T680. Closing = Opening - Principal</t>
      </text>
    </comment>
    <comment ref="C34" authorId="0" shapeId="0">
      <text>
        <t>Links to: Prior month closing balance row 33</t>
      </text>
    </comment>
    <comment ref="D34" authorId="0" shapeId="0">
      <text>
        <t>Loan: Paccar, 2 T680. Interest = Opening * Annual Rate / 12</t>
      </text>
    </comment>
    <comment ref="E34" authorId="0" shapeId="0">
      <text>
        <t>Loan: Paccar, 2 T680. Principal = MIN(Opening, Payment - Interest)</t>
      </text>
    </comment>
    <comment ref="F34" authorId="0" shapeId="0">
      <text>
        <t>Loan: Paccar, 2 T680. Closing = Opening - Principal</t>
      </text>
    </comment>
    <comment ref="C35" authorId="0" shapeId="0">
      <text>
        <t>Links to: Prior month closing balance row 34</t>
      </text>
    </comment>
    <comment ref="D35" authorId="0" shapeId="0">
      <text>
        <t>Loan: Paccar, 2 T680. Interest = Opening * Annual Rate / 12</t>
      </text>
    </comment>
    <comment ref="E35" authorId="0" shapeId="0">
      <text>
        <t>Loan: Paccar, 2 T680. Principal = MIN(Opening, Payment - Interest)</t>
      </text>
    </comment>
    <comment ref="F35" authorId="0" shapeId="0">
      <text>
        <t>Loan: Paccar, 2 T680. Closing = Opening - Principal</t>
      </text>
    </comment>
    <comment ref="C36" authorId="0" shapeId="0">
      <text>
        <t>Links to: Prior month closing balance row 35</t>
      </text>
    </comment>
    <comment ref="D36" authorId="0" shapeId="0">
      <text>
        <t>Loan: Paccar, 2 T680. Interest = Opening * Annual Rate / 12</t>
      </text>
    </comment>
    <comment ref="E36" authorId="0" shapeId="0">
      <text>
        <t>Loan: Paccar, 2 T680. Principal = MIN(Opening, Payment - Interest)</t>
      </text>
    </comment>
    <comment ref="F36" authorId="0" shapeId="0">
      <text>
        <t>Loan: Paccar, 2 T680. Closing = Opening - Principal</t>
      </text>
    </comment>
    <comment ref="C37" authorId="0" shapeId="0">
      <text>
        <t>Links to: Prior month closing balance row 36</t>
      </text>
    </comment>
    <comment ref="D37" authorId="0" shapeId="0">
      <text>
        <t>Loan: Paccar, 2 T680. Interest = Opening * Annual Rate / 12</t>
      </text>
    </comment>
    <comment ref="E37" authorId="0" shapeId="0">
      <text>
        <t>Loan: Paccar, 2 T680. Principal = MIN(Opening, Payment - Interest)</t>
      </text>
    </comment>
    <comment ref="F37" authorId="0" shapeId="0">
      <text>
        <t>Loan: Paccar, 2 T680. Closing = Opening - Principal</t>
      </text>
    </comment>
    <comment ref="C38" authorId="0" shapeId="0">
      <text>
        <t>Links to: Prior month closing balance row 37</t>
      </text>
    </comment>
    <comment ref="D38" authorId="0" shapeId="0">
      <text>
        <t>Loan: Paccar, 2 T680. Interest = Opening * Annual Rate / 12</t>
      </text>
    </comment>
    <comment ref="E38" authorId="0" shapeId="0">
      <text>
        <t>Loan: Paccar, 2 T680. Principal = MIN(Opening, Payment - Interest)</t>
      </text>
    </comment>
    <comment ref="F38" authorId="0" shapeId="0">
      <text>
        <t>Loan: Paccar, 2 T680. Closing = Opening - Principal</t>
      </text>
    </comment>
    <comment ref="C39" authorId="0" shapeId="0">
      <text>
        <t>Links to: Prior month closing balance row 38</t>
      </text>
    </comment>
    <comment ref="D39" authorId="0" shapeId="0">
      <text>
        <t>Loan: Paccar, 2 T680. Interest = Opening * Annual Rate / 12</t>
      </text>
    </comment>
    <comment ref="E39" authorId="0" shapeId="0">
      <text>
        <t>Loan: Paccar, 2 T680. Principal = MIN(Opening, Payment - Interest)</t>
      </text>
    </comment>
    <comment ref="F39" authorId="0" shapeId="0">
      <text>
        <t>Loan: Paccar, 2 T680. Closing = Opening - Principal</t>
      </text>
    </comment>
    <comment ref="C40" authorId="0" shapeId="0">
      <text>
        <t>Links to: Prior month closing balance row 39</t>
      </text>
    </comment>
    <comment ref="D40" authorId="0" shapeId="0">
      <text>
        <t>Loan: Paccar, 2 T680. Interest = Opening * Annual Rate / 12</t>
      </text>
    </comment>
    <comment ref="E40" authorId="0" shapeId="0">
      <text>
        <t>Loan: Paccar, 2 T680. Principal = MIN(Opening, Payment - Interest)</t>
      </text>
    </comment>
    <comment ref="F40" authorId="0" shapeId="0">
      <text>
        <t>Loan: Paccar, 2 T680. Closing = Opening - Principal</t>
      </text>
    </comment>
    <comment ref="C41" authorId="0" shapeId="0">
      <text>
        <t>Links to: Prior month closing balance row 40</t>
      </text>
    </comment>
    <comment ref="D41" authorId="0" shapeId="0">
      <text>
        <t>Loan: Paccar, 2 T680. Interest = Opening * Annual Rate / 12</t>
      </text>
    </comment>
    <comment ref="E41" authorId="0" shapeId="0">
      <text>
        <t>Loan: Paccar, 2 T680. Principal = MIN(Opening, Payment - Interest)</t>
      </text>
    </comment>
    <comment ref="F41" authorId="0" shapeId="0">
      <text>
        <t>Loan: Paccar, 2 T680. Closing = Opening - Principal</t>
      </text>
    </comment>
    <comment ref="C42" authorId="0" shapeId="0">
      <text>
        <t>Links to: Prior month closing balance row 41</t>
      </text>
    </comment>
    <comment ref="D42" authorId="0" shapeId="0">
      <text>
        <t>Loan: Paccar, 2 T680. Interest = Opening * Annual Rate / 12</t>
      </text>
    </comment>
    <comment ref="E42" authorId="0" shapeId="0">
      <text>
        <t>Loan: Paccar, 2 T680. Principal = MIN(Opening, Payment - Interest)</t>
      </text>
    </comment>
    <comment ref="F42" authorId="0" shapeId="0">
      <text>
        <t>Loan: Paccar, 2 T680. Closing = Opening - Principal</t>
      </text>
    </comment>
    <comment ref="C43" authorId="0" shapeId="0">
      <text>
        <t>Links to: Prior month closing balance row 42</t>
      </text>
    </comment>
    <comment ref="D43" authorId="0" shapeId="0">
      <text>
        <t>Loan: Paccar, 2 T680. Interest = Opening * Annual Rate / 12</t>
      </text>
    </comment>
    <comment ref="E43" authorId="0" shapeId="0">
      <text>
        <t>Loan: Paccar, 2 T680. Principal = MIN(Opening, Payment - Interest)</t>
      </text>
    </comment>
    <comment ref="F43" authorId="0" shapeId="0">
      <text>
        <t>Loan: Paccar, 2 T680. Closing = Opening - Principal</t>
      </text>
    </comment>
    <comment ref="C44" authorId="0" shapeId="0">
      <text>
        <t>Links to: Prior month closing balance row 43</t>
      </text>
    </comment>
    <comment ref="D44" authorId="0" shapeId="0">
      <text>
        <t>Loan: Paccar, 2 T680. Interest = Opening * Annual Rate / 12</t>
      </text>
    </comment>
    <comment ref="E44" authorId="0" shapeId="0">
      <text>
        <t>Loan: Paccar, 2 T680. Principal = MIN(Opening, Payment - Interest)</t>
      </text>
    </comment>
    <comment ref="F44" authorId="0" shapeId="0">
      <text>
        <t>Loan: Paccar, 2 T680. Closing = Opening - Principal</t>
      </text>
    </comment>
    <comment ref="C45" authorId="0" shapeId="0">
      <text>
        <t>Links to: Prior month closing balance row 44</t>
      </text>
    </comment>
    <comment ref="D45" authorId="0" shapeId="0">
      <text>
        <t>Loan: Paccar, 2 T680. Interest = Opening * Annual Rate / 12</t>
      </text>
    </comment>
    <comment ref="E45" authorId="0" shapeId="0">
      <text>
        <t>Loan: Paccar, 2 T680. Principal = MIN(Opening, Payment - Interest)</t>
      </text>
    </comment>
    <comment ref="F45" authorId="0" shapeId="0">
      <text>
        <t>Loan: Paccar, 2 T680. Closing = Opening - Principal</t>
      </text>
    </comment>
    <comment ref="C46" authorId="0" shapeId="0">
      <text>
        <t>Links to: Prior month closing balance row 45</t>
      </text>
    </comment>
    <comment ref="D46" authorId="0" shapeId="0">
      <text>
        <t>Loan: Paccar, 2 T680. Interest = Opening * Annual Rate / 12</t>
      </text>
    </comment>
    <comment ref="E46" authorId="0" shapeId="0">
      <text>
        <t>Loan: Paccar, 2 T680. Principal = MIN(Opening, Payment - Interest)</t>
      </text>
    </comment>
    <comment ref="F46" authorId="0" shapeId="0">
      <text>
        <t>Loan: Paccar, 2 T680. Closing = Opening - Principal</t>
      </text>
    </comment>
    <comment ref="C47" authorId="0" shapeId="0">
      <text>
        <t>Links to: Prior month closing balance row 46</t>
      </text>
    </comment>
    <comment ref="D47" authorId="0" shapeId="0">
      <text>
        <t>Loan: Paccar, 2 T680. Interest = Opening * Annual Rate / 12</t>
      </text>
    </comment>
    <comment ref="E47" authorId="0" shapeId="0">
      <text>
        <t>Loan: Paccar, 2 T680. Principal = MIN(Opening, Payment - Interest)</t>
      </text>
    </comment>
    <comment ref="F47" authorId="0" shapeId="0">
      <text>
        <t>Loan: Paccar, 2 T680. Closing = Opening - Principal</t>
      </text>
    </comment>
    <comment ref="C48" authorId="0" shapeId="0">
      <text>
        <t>Links to: Prior month closing balance row 47</t>
      </text>
    </comment>
    <comment ref="D48" authorId="0" shapeId="0">
      <text>
        <t>Loan: Paccar, 2 T680. Interest = Opening * Annual Rate / 12</t>
      </text>
    </comment>
    <comment ref="E48" authorId="0" shapeId="0">
      <text>
        <t>Loan: Paccar, 2 T680. Principal = MIN(Opening, Payment - Interest)</t>
      </text>
    </comment>
    <comment ref="F48" authorId="0" shapeId="0">
      <text>
        <t>Loan: Paccar, 2 T680. Closing = Opening - Principal</t>
      </text>
    </comment>
    <comment ref="C49" authorId="0" shapeId="0">
      <text>
        <t>Links to: Prior month closing balance row 48</t>
      </text>
    </comment>
    <comment ref="D49" authorId="0" shapeId="0">
      <text>
        <t>Loan: Paccar, 2 T680. Interest = Opening * Annual Rate / 12</t>
      </text>
    </comment>
    <comment ref="E49" authorId="0" shapeId="0">
      <text>
        <t>Loan: Paccar, 2 T680. Principal = MIN(Opening, Payment - Interest)</t>
      </text>
    </comment>
    <comment ref="F49" authorId="0" shapeId="0">
      <text>
        <t>Loan: Paccar, 2 T680. Closing = Opening - Principal</t>
      </text>
    </comment>
    <comment ref="C50" authorId="0" shapeId="0">
      <text>
        <t>Links to: Prior month closing balance row 49</t>
      </text>
    </comment>
    <comment ref="D50" authorId="0" shapeId="0">
      <text>
        <t>Loan: Paccar, 2 T680. Interest = Opening * Annual Rate / 12</t>
      </text>
    </comment>
    <comment ref="E50" authorId="0" shapeId="0">
      <text>
        <t>Loan: Paccar, 2 T680. Principal = MIN(Opening, Payment - Interest)</t>
      </text>
    </comment>
    <comment ref="F50" authorId="0" shapeId="0">
      <text>
        <t>Loan: Paccar, 2 T680. Closing = Opening - Principal</t>
      </text>
    </comment>
    <comment ref="C51" authorId="0" shapeId="0">
      <text>
        <t>Links to: Prior month closing balance row 50</t>
      </text>
    </comment>
    <comment ref="D51" authorId="0" shapeId="0">
      <text>
        <t>Loan: Paccar, 2 T680. Interest = Opening * Annual Rate / 12</t>
      </text>
    </comment>
    <comment ref="E51" authorId="0" shapeId="0">
      <text>
        <t>Loan: Paccar, 2 T680. Principal = MIN(Opening, Payment - Interest)</t>
      </text>
    </comment>
    <comment ref="F51" authorId="0" shapeId="0">
      <text>
        <t>Loan: Paccar, 2 T680. Closing = Opening - Principal</t>
      </text>
    </comment>
    <comment ref="C52" authorId="0" shapeId="0">
      <text>
        <t>Links to: Prior month closing balance row 51</t>
      </text>
    </comment>
    <comment ref="D52" authorId="0" shapeId="0">
      <text>
        <t>Loan: Paccar, 2 T680. Interest = Opening * Annual Rate / 12</t>
      </text>
    </comment>
    <comment ref="E52" authorId="0" shapeId="0">
      <text>
        <t>Loan: Paccar, 2 T680. Principal = MIN(Opening, Payment - Interest)</t>
      </text>
    </comment>
    <comment ref="F52" authorId="0" shapeId="0">
      <text>
        <t>Loan: Paccar, 2 T680. Closing = Opening - Principal</t>
      </text>
    </comment>
    <comment ref="C53" authorId="0" shapeId="0">
      <text>
        <t>Links to: Prior month closing balance row 52</t>
      </text>
    </comment>
    <comment ref="D53" authorId="0" shapeId="0">
      <text>
        <t>Loan: Paccar, 2 T680. Interest = Opening * Annual Rate / 12</t>
      </text>
    </comment>
    <comment ref="E53" authorId="0" shapeId="0">
      <text>
        <t>Loan: Paccar, 2 T680. Principal = MIN(Opening, Payment - Interest)</t>
      </text>
    </comment>
    <comment ref="F53" authorId="0" shapeId="0">
      <text>
        <t>Loan: Paccar, 2 T680. Closing = Opening - Principal</t>
      </text>
    </comment>
    <comment ref="C54" authorId="0" shapeId="0">
      <text>
        <t>Links to: Prior month closing balance row 53</t>
      </text>
    </comment>
    <comment ref="D54" authorId="0" shapeId="0">
      <text>
        <t>Loan: Paccar, 2 T680. Interest = Opening * Annual Rate / 12</t>
      </text>
    </comment>
    <comment ref="E54" authorId="0" shapeId="0">
      <text>
        <t>Loan: Paccar, 2 T680. Principal = MIN(Opening, Payment - Interest)</t>
      </text>
    </comment>
    <comment ref="F54" authorId="0" shapeId="0">
      <text>
        <t>Loan: Paccar, 2 T680. Closing = Opening - Principal</t>
      </text>
    </comment>
    <comment ref="C55" authorId="0" shapeId="0">
      <text>
        <t>Links to: Prior month closing balance row 54</t>
      </text>
    </comment>
    <comment ref="D55" authorId="0" shapeId="0">
      <text>
        <t>Loan: Paccar, 2 T680. Interest = Opening * Annual Rate / 12</t>
      </text>
    </comment>
    <comment ref="E55" authorId="0" shapeId="0">
      <text>
        <t>Loan: Paccar, 2 T680. Principal = MIN(Opening, Payment - Interest)</t>
      </text>
    </comment>
    <comment ref="F55" authorId="0" shapeId="0">
      <text>
        <t>Loan: Paccar, 2 T680. Closing = Opening - Principal</t>
      </text>
    </comment>
    <comment ref="C60" authorId="0" shapeId="0">
      <text>
        <t>Sum of rows 23-34: Annual opening balance</t>
      </text>
    </comment>
    <comment ref="D60" authorId="0" shapeId="0">
      <text>
        <t>Sum of rows 23-34: Annual interest expense</t>
      </text>
    </comment>
    <comment ref="E60" authorId="0" shapeId="0">
      <text>
        <t>Sum of rows 23-34: Annual principal repayment</t>
      </text>
    </comment>
    <comment ref="F60" authorId="0" shapeId="0">
      <text>
        <t>Sum of rows 23-34: Year-end closing balance</t>
      </text>
    </comment>
    <comment ref="C61" authorId="0" shapeId="0">
      <text>
        <t>Sum of rows 35-46: Annual opening balance</t>
      </text>
    </comment>
    <comment ref="D61" authorId="0" shapeId="0">
      <text>
        <t>Sum of rows 35-46: Annual interest expense</t>
      </text>
    </comment>
    <comment ref="E61" authorId="0" shapeId="0">
      <text>
        <t>Sum of rows 35-46: Annual principal repayment</t>
      </text>
    </comment>
    <comment ref="F61" authorId="0" shapeId="0">
      <text>
        <t>Sum of rows 35-46: Year-end closing balance</t>
      </text>
    </comment>
    <comment ref="C62" authorId="0" shapeId="0">
      <text>
        <t>Sum of rows 47-55: Annual opening balance</t>
      </text>
    </comment>
    <comment ref="D62" authorId="0" shapeId="0">
      <text>
        <t>Sum of rows 47-55: Annual interest expense</t>
      </text>
    </comment>
    <comment ref="E62" authorId="0" shapeId="0">
      <text>
        <t>Sum of rows 47-55: Annual principal repayment</t>
      </text>
    </comment>
    <comment ref="F62" authorId="0" shapeId="0">
      <text>
        <t>Sum of rows 47-55: Year-end closing balance</t>
      </text>
    </comment>
    <comment ref="B65" authorId="0" shapeId="0">
      <text>
        <t>Links to: Year-end 2026 closing balance for Debt Schedule reference</t>
      </text>
    </comment>
  </commentList>
</comments>
</file>

<file path=xl/comments/comment25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loans.md, Paccar Loan 14
Extracted: 2026-05-14</t>
      </text>
    </comment>
    <comment ref="B6" authorId="0" shapeId="0">
      <text>
        <t>Loan: Paccar, 2 T680. Source: Meiborg_Debt_Schedule_202512.xlsx
Balance as of 12/31/2025</t>
      </text>
    </comment>
    <comment ref="B7" authorId="0" shapeId="0">
      <text>
        <t>Loan: Paccar, 2 T680. Source: Meiborg_Debt_Schedule_202512.xlsx</t>
      </text>
    </comment>
    <comment ref="B8" authorId="0" shapeId="0">
      <text>
        <t>Loan: Paccar, 2 T680. Source: Meiborg_Debt_Schedule_202512.xlsx</t>
      </text>
    </comment>
    <comment ref="C23" authorId="0" shapeId="0">
      <text>
        <t>Links to: Opening Balance input cell B6</t>
      </text>
    </comment>
    <comment ref="D23" authorId="0" shapeId="0">
      <text>
        <t>Loan: Paccar, 2 T680. Interest = Opening * Annual Rate / 12</t>
      </text>
    </comment>
    <comment ref="E23" authorId="0" shapeId="0">
      <text>
        <t>Loan: Paccar, 2 T680. Principal = MIN(Opening, Payment - Interest)</t>
      </text>
    </comment>
    <comment ref="F23" authorId="0" shapeId="0">
      <text>
        <t>Loan: Paccar, 2 T680. Closing = Opening - Principal</t>
      </text>
    </comment>
    <comment ref="C24" authorId="0" shapeId="0">
      <text>
        <t>Links to: Prior month closing balance row 23</t>
      </text>
    </comment>
    <comment ref="D24" authorId="0" shapeId="0">
      <text>
        <t>Loan: Paccar, 2 T680. Interest = Opening * Annual Rate / 12</t>
      </text>
    </comment>
    <comment ref="E24" authorId="0" shapeId="0">
      <text>
        <t>Loan: Paccar, 2 T680. Principal = MIN(Opening, Payment - Interest)</t>
      </text>
    </comment>
    <comment ref="F24" authorId="0" shapeId="0">
      <text>
        <t>Loan: Paccar, 2 T680. Closing = Opening - Principal</t>
      </text>
    </comment>
    <comment ref="C25" authorId="0" shapeId="0">
      <text>
        <t>Links to: Prior month closing balance row 24</t>
      </text>
    </comment>
    <comment ref="D25" authorId="0" shapeId="0">
      <text>
        <t>Loan: Paccar, 2 T680. Interest = Opening * Annual Rate / 12</t>
      </text>
    </comment>
    <comment ref="E25" authorId="0" shapeId="0">
      <text>
        <t>Loan: Paccar, 2 T680. Principal = MIN(Opening, Payment - Interest)</t>
      </text>
    </comment>
    <comment ref="F25" authorId="0" shapeId="0">
      <text>
        <t>Loan: Paccar, 2 T680. Closing = Opening - Principal</t>
      </text>
    </comment>
    <comment ref="C26" authorId="0" shapeId="0">
      <text>
        <t>Links to: Prior month closing balance row 25</t>
      </text>
    </comment>
    <comment ref="D26" authorId="0" shapeId="0">
      <text>
        <t>Loan: Paccar, 2 T680. Interest = Opening * Annual Rate / 12</t>
      </text>
    </comment>
    <comment ref="E26" authorId="0" shapeId="0">
      <text>
        <t>Loan: Paccar, 2 T680. Principal = MIN(Opening, Payment - Interest)</t>
      </text>
    </comment>
    <comment ref="F26" authorId="0" shapeId="0">
      <text>
        <t>Loan: Paccar, 2 T680. Closing = Opening - Principal</t>
      </text>
    </comment>
    <comment ref="C27" authorId="0" shapeId="0">
      <text>
        <t>Links to: Prior month closing balance row 26</t>
      </text>
    </comment>
    <comment ref="D27" authorId="0" shapeId="0">
      <text>
        <t>Loan: Paccar, 2 T680. Interest = Opening * Annual Rate / 12</t>
      </text>
    </comment>
    <comment ref="E27" authorId="0" shapeId="0">
      <text>
        <t>Loan: Paccar, 2 T680. Principal = MIN(Opening, Payment - Interest)</t>
      </text>
    </comment>
    <comment ref="F27" authorId="0" shapeId="0">
      <text>
        <t>Loan: Paccar, 2 T680. Closing = Opening - Principal</t>
      </text>
    </comment>
    <comment ref="C28" authorId="0" shapeId="0">
      <text>
        <t>Links to: Prior month closing balance row 27</t>
      </text>
    </comment>
    <comment ref="D28" authorId="0" shapeId="0">
      <text>
        <t>Loan: Paccar, 2 T680. Interest = Opening * Annual Rate / 12</t>
      </text>
    </comment>
    <comment ref="E28" authorId="0" shapeId="0">
      <text>
        <t>Loan: Paccar, 2 T680. Principal = MIN(Opening, Payment - Interest)</t>
      </text>
    </comment>
    <comment ref="F28" authorId="0" shapeId="0">
      <text>
        <t>Loan: Paccar, 2 T680. Closing = Opening - Principal</t>
      </text>
    </comment>
    <comment ref="C29" authorId="0" shapeId="0">
      <text>
        <t>Links to: Prior month closing balance row 28</t>
      </text>
    </comment>
    <comment ref="D29" authorId="0" shapeId="0">
      <text>
        <t>Loan: Paccar, 2 T680. Interest = Opening * Annual Rate / 12</t>
      </text>
    </comment>
    <comment ref="E29" authorId="0" shapeId="0">
      <text>
        <t>Loan: Paccar, 2 T680. Principal = MIN(Opening, Payment - Interest)</t>
      </text>
    </comment>
    <comment ref="F29" authorId="0" shapeId="0">
      <text>
        <t>Loan: Paccar, 2 T680. Closing = Opening - Principal</t>
      </text>
    </comment>
    <comment ref="C30" authorId="0" shapeId="0">
      <text>
        <t>Links to: Prior month closing balance row 29</t>
      </text>
    </comment>
    <comment ref="D30" authorId="0" shapeId="0">
      <text>
        <t>Loan: Paccar, 2 T680. Interest = Opening * Annual Rate / 12</t>
      </text>
    </comment>
    <comment ref="E30" authorId="0" shapeId="0">
      <text>
        <t>Loan: Paccar, 2 T680. Principal = MIN(Opening, Payment - Interest)</t>
      </text>
    </comment>
    <comment ref="F30" authorId="0" shapeId="0">
      <text>
        <t>Loan: Paccar, 2 T680. Closing = Opening - Principal</t>
      </text>
    </comment>
    <comment ref="C31" authorId="0" shapeId="0">
      <text>
        <t>Links to: Prior month closing balance row 30</t>
      </text>
    </comment>
    <comment ref="D31" authorId="0" shapeId="0">
      <text>
        <t>Loan: Paccar, 2 T680. Interest = Opening * Annual Rate / 12</t>
      </text>
    </comment>
    <comment ref="E31" authorId="0" shapeId="0">
      <text>
        <t>Loan: Paccar, 2 T680. Principal = MIN(Opening, Payment - Interest)</t>
      </text>
    </comment>
    <comment ref="F31" authorId="0" shapeId="0">
      <text>
        <t>Loan: Paccar, 2 T680. Closing = Opening - Principal</t>
      </text>
    </comment>
    <comment ref="C32" authorId="0" shapeId="0">
      <text>
        <t>Links to: Prior month closing balance row 31</t>
      </text>
    </comment>
    <comment ref="D32" authorId="0" shapeId="0">
      <text>
        <t>Loan: Paccar, 2 T680. Interest = Opening * Annual Rate / 12</t>
      </text>
    </comment>
    <comment ref="E32" authorId="0" shapeId="0">
      <text>
        <t>Loan: Paccar, 2 T680. Principal = MIN(Opening, Payment - Interest)</t>
      </text>
    </comment>
    <comment ref="F32" authorId="0" shapeId="0">
      <text>
        <t>Loan: Paccar, 2 T680. Closing = Opening - Principal</t>
      </text>
    </comment>
    <comment ref="C33" authorId="0" shapeId="0">
      <text>
        <t>Links to: Prior month closing balance row 32</t>
      </text>
    </comment>
    <comment ref="D33" authorId="0" shapeId="0">
      <text>
        <t>Loan: Paccar, 2 T680. Interest = Opening * Annual Rate / 12</t>
      </text>
    </comment>
    <comment ref="E33" authorId="0" shapeId="0">
      <text>
        <t>Loan: Paccar, 2 T680. Principal = MIN(Opening, Payment - Interest)</t>
      </text>
    </comment>
    <comment ref="F33" authorId="0" shapeId="0">
      <text>
        <t>Loan: Paccar, 2 T680. Closing = Opening - Principal</t>
      </text>
    </comment>
    <comment ref="C34" authorId="0" shapeId="0">
      <text>
        <t>Links to: Prior month closing balance row 33</t>
      </text>
    </comment>
    <comment ref="D34" authorId="0" shapeId="0">
      <text>
        <t>Loan: Paccar, 2 T680. Interest = Opening * Annual Rate / 12</t>
      </text>
    </comment>
    <comment ref="E34" authorId="0" shapeId="0">
      <text>
        <t>Loan: Paccar, 2 T680. Principal = MIN(Opening, Payment - Interest)</t>
      </text>
    </comment>
    <comment ref="F34" authorId="0" shapeId="0">
      <text>
        <t>Loan: Paccar, 2 T680. Closing = Opening - Principal</t>
      </text>
    </comment>
    <comment ref="C35" authorId="0" shapeId="0">
      <text>
        <t>Links to: Prior month closing balance row 34</t>
      </text>
    </comment>
    <comment ref="D35" authorId="0" shapeId="0">
      <text>
        <t>Loan: Paccar, 2 T680. Interest = Opening * Annual Rate / 12</t>
      </text>
    </comment>
    <comment ref="E35" authorId="0" shapeId="0">
      <text>
        <t>Loan: Paccar, 2 T680. Principal = MIN(Opening, Payment - Interest)</t>
      </text>
    </comment>
    <comment ref="F35" authorId="0" shapeId="0">
      <text>
        <t>Loan: Paccar, 2 T680. Closing = Opening - Principal</t>
      </text>
    </comment>
    <comment ref="C36" authorId="0" shapeId="0">
      <text>
        <t>Links to: Prior month closing balance row 35</t>
      </text>
    </comment>
    <comment ref="D36" authorId="0" shapeId="0">
      <text>
        <t>Loan: Paccar, 2 T680. Interest = Opening * Annual Rate / 12</t>
      </text>
    </comment>
    <comment ref="E36" authorId="0" shapeId="0">
      <text>
        <t>Loan: Paccar, 2 T680. Principal = MIN(Opening, Payment - Interest)</t>
      </text>
    </comment>
    <comment ref="F36" authorId="0" shapeId="0">
      <text>
        <t>Loan: Paccar, 2 T680. Closing = Opening - Principal</t>
      </text>
    </comment>
    <comment ref="C37" authorId="0" shapeId="0">
      <text>
        <t>Links to: Prior month closing balance row 36</t>
      </text>
    </comment>
    <comment ref="D37" authorId="0" shapeId="0">
      <text>
        <t>Loan: Paccar, 2 T680. Interest = Opening * Annual Rate / 12</t>
      </text>
    </comment>
    <comment ref="E37" authorId="0" shapeId="0">
      <text>
        <t>Loan: Paccar, 2 T680. Principal = MIN(Opening, Payment - Interest)</t>
      </text>
    </comment>
    <comment ref="F37" authorId="0" shapeId="0">
      <text>
        <t>Loan: Paccar, 2 T680. Closing = Opening - Principal</t>
      </text>
    </comment>
    <comment ref="C38" authorId="0" shapeId="0">
      <text>
        <t>Links to: Prior month closing balance row 37</t>
      </text>
    </comment>
    <comment ref="D38" authorId="0" shapeId="0">
      <text>
        <t>Loan: Paccar, 2 T680. Interest = Opening * Annual Rate / 12</t>
      </text>
    </comment>
    <comment ref="E38" authorId="0" shapeId="0">
      <text>
        <t>Loan: Paccar, 2 T680. Principal = MIN(Opening, Payment - Interest)</t>
      </text>
    </comment>
    <comment ref="F38" authorId="0" shapeId="0">
      <text>
        <t>Loan: Paccar, 2 T680. Closing = Opening - Principal</t>
      </text>
    </comment>
    <comment ref="C39" authorId="0" shapeId="0">
      <text>
        <t>Links to: Prior month closing balance row 38</t>
      </text>
    </comment>
    <comment ref="D39" authorId="0" shapeId="0">
      <text>
        <t>Loan: Paccar, 2 T680. Interest = Opening * Annual Rate / 12</t>
      </text>
    </comment>
    <comment ref="E39" authorId="0" shapeId="0">
      <text>
        <t>Loan: Paccar, 2 T680. Principal = MIN(Opening, Payment - Interest)</t>
      </text>
    </comment>
    <comment ref="F39" authorId="0" shapeId="0">
      <text>
        <t>Loan: Paccar, 2 T680. Closing = Opening - Principal</t>
      </text>
    </comment>
    <comment ref="C40" authorId="0" shapeId="0">
      <text>
        <t>Links to: Prior month closing balance row 39</t>
      </text>
    </comment>
    <comment ref="D40" authorId="0" shapeId="0">
      <text>
        <t>Loan: Paccar, 2 T680. Interest = Opening * Annual Rate / 12</t>
      </text>
    </comment>
    <comment ref="E40" authorId="0" shapeId="0">
      <text>
        <t>Loan: Paccar, 2 T680. Principal = MIN(Opening, Payment - Interest)</t>
      </text>
    </comment>
    <comment ref="F40" authorId="0" shapeId="0">
      <text>
        <t>Loan: Paccar, 2 T680. Closing = Opening - Principal</t>
      </text>
    </comment>
    <comment ref="C41" authorId="0" shapeId="0">
      <text>
        <t>Links to: Prior month closing balance row 40</t>
      </text>
    </comment>
    <comment ref="D41" authorId="0" shapeId="0">
      <text>
        <t>Loan: Paccar, 2 T680. Interest = Opening * Annual Rate / 12</t>
      </text>
    </comment>
    <comment ref="E41" authorId="0" shapeId="0">
      <text>
        <t>Loan: Paccar, 2 T680. Principal = MIN(Opening, Payment - Interest)</t>
      </text>
    </comment>
    <comment ref="F41" authorId="0" shapeId="0">
      <text>
        <t>Loan: Paccar, 2 T680. Closing = Opening - Principal</t>
      </text>
    </comment>
    <comment ref="C42" authorId="0" shapeId="0">
      <text>
        <t>Links to: Prior month closing balance row 41</t>
      </text>
    </comment>
    <comment ref="D42" authorId="0" shapeId="0">
      <text>
        <t>Loan: Paccar, 2 T680. Interest = Opening * Annual Rate / 12</t>
      </text>
    </comment>
    <comment ref="E42" authorId="0" shapeId="0">
      <text>
        <t>Loan: Paccar, 2 T680. Principal = MIN(Opening, Payment - Interest)</t>
      </text>
    </comment>
    <comment ref="F42" authorId="0" shapeId="0">
      <text>
        <t>Loan: Paccar, 2 T680. Closing = Opening - Principal</t>
      </text>
    </comment>
    <comment ref="C43" authorId="0" shapeId="0">
      <text>
        <t>Links to: Prior month closing balance row 42</t>
      </text>
    </comment>
    <comment ref="D43" authorId="0" shapeId="0">
      <text>
        <t>Loan: Paccar, 2 T680. Interest = Opening * Annual Rate / 12</t>
      </text>
    </comment>
    <comment ref="E43" authorId="0" shapeId="0">
      <text>
        <t>Loan: Paccar, 2 T680. Principal = MIN(Opening, Payment - Interest)</t>
      </text>
    </comment>
    <comment ref="F43" authorId="0" shapeId="0">
      <text>
        <t>Loan: Paccar, 2 T680. Closing = Opening - Principal</t>
      </text>
    </comment>
    <comment ref="C44" authorId="0" shapeId="0">
      <text>
        <t>Links to: Prior month closing balance row 43</t>
      </text>
    </comment>
    <comment ref="D44" authorId="0" shapeId="0">
      <text>
        <t>Loan: Paccar, 2 T680. Interest = Opening * Annual Rate / 12</t>
      </text>
    </comment>
    <comment ref="E44" authorId="0" shapeId="0">
      <text>
        <t>Loan: Paccar, 2 T680. Principal = MIN(Opening, Payment - Interest)</t>
      </text>
    </comment>
    <comment ref="F44" authorId="0" shapeId="0">
      <text>
        <t>Loan: Paccar, 2 T680. Closing = Opening - Principal</t>
      </text>
    </comment>
    <comment ref="C45" authorId="0" shapeId="0">
      <text>
        <t>Links to: Prior month closing balance row 44</t>
      </text>
    </comment>
    <comment ref="D45" authorId="0" shapeId="0">
      <text>
        <t>Loan: Paccar, 2 T680. Interest = Opening * Annual Rate / 12</t>
      </text>
    </comment>
    <comment ref="E45" authorId="0" shapeId="0">
      <text>
        <t>Loan: Paccar, 2 T680. Principal = MIN(Opening, Payment - Interest)</t>
      </text>
    </comment>
    <comment ref="F45" authorId="0" shapeId="0">
      <text>
        <t>Loan: Paccar, 2 T680. Closing = Opening - Principal</t>
      </text>
    </comment>
    <comment ref="C46" authorId="0" shapeId="0">
      <text>
        <t>Links to: Prior month closing balance row 45</t>
      </text>
    </comment>
    <comment ref="D46" authorId="0" shapeId="0">
      <text>
        <t>Loan: Paccar, 2 T680. Interest = Opening * Annual Rate / 12</t>
      </text>
    </comment>
    <comment ref="E46" authorId="0" shapeId="0">
      <text>
        <t>Loan: Paccar, 2 T680. Principal = MIN(Opening, Payment - Interest)</t>
      </text>
    </comment>
    <comment ref="F46" authorId="0" shapeId="0">
      <text>
        <t>Loan: Paccar, 2 T680. Closing = Opening - Principal</t>
      </text>
    </comment>
    <comment ref="C47" authorId="0" shapeId="0">
      <text>
        <t>Links to: Prior month closing balance row 46</t>
      </text>
    </comment>
    <comment ref="D47" authorId="0" shapeId="0">
      <text>
        <t>Loan: Paccar, 2 T680. Interest = Opening * Annual Rate / 12</t>
      </text>
    </comment>
    <comment ref="E47" authorId="0" shapeId="0">
      <text>
        <t>Loan: Paccar, 2 T680. Principal = MIN(Opening, Payment - Interest)</t>
      </text>
    </comment>
    <comment ref="F47" authorId="0" shapeId="0">
      <text>
        <t>Loan: Paccar, 2 T680. Closing = Opening - Principal</t>
      </text>
    </comment>
    <comment ref="C48" authorId="0" shapeId="0">
      <text>
        <t>Links to: Prior month closing balance row 47</t>
      </text>
    </comment>
    <comment ref="D48" authorId="0" shapeId="0">
      <text>
        <t>Loan: Paccar, 2 T680. Interest = Opening * Annual Rate / 12</t>
      </text>
    </comment>
    <comment ref="E48" authorId="0" shapeId="0">
      <text>
        <t>Loan: Paccar, 2 T680. Principal = MIN(Opening, Payment - Interest)</t>
      </text>
    </comment>
    <comment ref="F48" authorId="0" shapeId="0">
      <text>
        <t>Loan: Paccar, 2 T680. Closing = Opening - Principal</t>
      </text>
    </comment>
    <comment ref="C49" authorId="0" shapeId="0">
      <text>
        <t>Links to: Prior month closing balance row 48</t>
      </text>
    </comment>
    <comment ref="D49" authorId="0" shapeId="0">
      <text>
        <t>Loan: Paccar, 2 T680. Interest = Opening * Annual Rate / 12</t>
      </text>
    </comment>
    <comment ref="E49" authorId="0" shapeId="0">
      <text>
        <t>Loan: Paccar, 2 T680. Principal = MIN(Opening, Payment - Interest)</t>
      </text>
    </comment>
    <comment ref="F49" authorId="0" shapeId="0">
      <text>
        <t>Loan: Paccar, 2 T680. Closing = Opening - Principal</t>
      </text>
    </comment>
    <comment ref="C50" authorId="0" shapeId="0">
      <text>
        <t>Links to: Prior month closing balance row 49</t>
      </text>
    </comment>
    <comment ref="D50" authorId="0" shapeId="0">
      <text>
        <t>Loan: Paccar, 2 T680. Interest = Opening * Annual Rate / 12</t>
      </text>
    </comment>
    <comment ref="E50" authorId="0" shapeId="0">
      <text>
        <t>Loan: Paccar, 2 T680. Principal = MIN(Opening, Payment - Interest)</t>
      </text>
    </comment>
    <comment ref="F50" authorId="0" shapeId="0">
      <text>
        <t>Loan: Paccar, 2 T680. Closing = Opening - Principal</t>
      </text>
    </comment>
    <comment ref="C51" authorId="0" shapeId="0">
      <text>
        <t>Links to: Prior month closing balance row 50</t>
      </text>
    </comment>
    <comment ref="D51" authorId="0" shapeId="0">
      <text>
        <t>Loan: Paccar, 2 T680. Interest = Opening * Annual Rate / 12</t>
      </text>
    </comment>
    <comment ref="E51" authorId="0" shapeId="0">
      <text>
        <t>Loan: Paccar, 2 T680. Principal = MIN(Opening, Payment - Interest)</t>
      </text>
    </comment>
    <comment ref="F51" authorId="0" shapeId="0">
      <text>
        <t>Loan: Paccar, 2 T680. Closing = Opening - Principal</t>
      </text>
    </comment>
    <comment ref="C52" authorId="0" shapeId="0">
      <text>
        <t>Links to: Prior month closing balance row 51</t>
      </text>
    </comment>
    <comment ref="D52" authorId="0" shapeId="0">
      <text>
        <t>Loan: Paccar, 2 T680. Interest = Opening * Annual Rate / 12</t>
      </text>
    </comment>
    <comment ref="E52" authorId="0" shapeId="0">
      <text>
        <t>Loan: Paccar, 2 T680. Principal = MIN(Opening, Payment - Interest)</t>
      </text>
    </comment>
    <comment ref="F52" authorId="0" shapeId="0">
      <text>
        <t>Loan: Paccar, 2 T680. Closing = Opening - Principal</t>
      </text>
    </comment>
    <comment ref="C53" authorId="0" shapeId="0">
      <text>
        <t>Links to: Prior month closing balance row 52</t>
      </text>
    </comment>
    <comment ref="D53" authorId="0" shapeId="0">
      <text>
        <t>Loan: Paccar, 2 T680. Interest = Opening * Annual Rate / 12</t>
      </text>
    </comment>
    <comment ref="E53" authorId="0" shapeId="0">
      <text>
        <t>Loan: Paccar, 2 T680. Principal = MIN(Opening, Payment - Interest)</t>
      </text>
    </comment>
    <comment ref="F53" authorId="0" shapeId="0">
      <text>
        <t>Loan: Paccar, 2 T680. Closing = Opening - Principal</t>
      </text>
    </comment>
    <comment ref="C54" authorId="0" shapeId="0">
      <text>
        <t>Links to: Prior month closing balance row 53</t>
      </text>
    </comment>
    <comment ref="D54" authorId="0" shapeId="0">
      <text>
        <t>Loan: Paccar, 2 T680. Interest = Opening * Annual Rate / 12</t>
      </text>
    </comment>
    <comment ref="E54" authorId="0" shapeId="0">
      <text>
        <t>Loan: Paccar, 2 T680. Principal = MIN(Opening, Payment - Interest)</t>
      </text>
    </comment>
    <comment ref="F54" authorId="0" shapeId="0">
      <text>
        <t>Loan: Paccar, 2 T680. Closing = Opening - Principal</t>
      </text>
    </comment>
    <comment ref="C55" authorId="0" shapeId="0">
      <text>
        <t>Links to: Prior month closing balance row 54</t>
      </text>
    </comment>
    <comment ref="D55" authorId="0" shapeId="0">
      <text>
        <t>Loan: Paccar, 2 T680. Interest = Opening * Annual Rate / 12</t>
      </text>
    </comment>
    <comment ref="E55" authorId="0" shapeId="0">
      <text>
        <t>Loan: Paccar, 2 T680. Principal = MIN(Opening, Payment - Interest)</t>
      </text>
    </comment>
    <comment ref="F55" authorId="0" shapeId="0">
      <text>
        <t>Loan: Paccar, 2 T680. Closing = Opening - Principal</t>
      </text>
    </comment>
    <comment ref="C56" authorId="0" shapeId="0">
      <text>
        <t>Links to: Prior month closing balance row 55</t>
      </text>
    </comment>
    <comment ref="D56" authorId="0" shapeId="0">
      <text>
        <t>Loan: Paccar, 2 T680. Interest = Opening * Annual Rate / 12</t>
      </text>
    </comment>
    <comment ref="E56" authorId="0" shapeId="0">
      <text>
        <t>Loan: Paccar, 2 T680. Principal = MIN(Opening, Payment - Interest)</t>
      </text>
    </comment>
    <comment ref="F56" authorId="0" shapeId="0">
      <text>
        <t>Loan: Paccar, 2 T680. Closing = Opening - Principal</t>
      </text>
    </comment>
    <comment ref="C61" authorId="0" shapeId="0">
      <text>
        <t>Sum of rows 23-34: Annual opening balance</t>
      </text>
    </comment>
    <comment ref="D61" authorId="0" shapeId="0">
      <text>
        <t>Sum of rows 23-34: Annual interest expense</t>
      </text>
    </comment>
    <comment ref="E61" authorId="0" shapeId="0">
      <text>
        <t>Sum of rows 23-34: Annual principal repayment</t>
      </text>
    </comment>
    <comment ref="F61" authorId="0" shapeId="0">
      <text>
        <t>Sum of rows 23-34: Year-end closing balance</t>
      </text>
    </comment>
    <comment ref="C62" authorId="0" shapeId="0">
      <text>
        <t>Sum of rows 35-46: Annual opening balance</t>
      </text>
    </comment>
    <comment ref="D62" authorId="0" shapeId="0">
      <text>
        <t>Sum of rows 35-46: Annual interest expense</t>
      </text>
    </comment>
    <comment ref="E62" authorId="0" shapeId="0">
      <text>
        <t>Sum of rows 35-46: Annual principal repayment</t>
      </text>
    </comment>
    <comment ref="F62" authorId="0" shapeId="0">
      <text>
        <t>Sum of rows 35-46: Year-end closing balance</t>
      </text>
    </comment>
    <comment ref="C63" authorId="0" shapeId="0">
      <text>
        <t>Sum of rows 47-56: Annual opening balance</t>
      </text>
    </comment>
    <comment ref="D63" authorId="0" shapeId="0">
      <text>
        <t>Sum of rows 47-56: Annual interest expense</t>
      </text>
    </comment>
    <comment ref="E63" authorId="0" shapeId="0">
      <text>
        <t>Sum of rows 47-56: Annual principal repayment</t>
      </text>
    </comment>
    <comment ref="F63" authorId="0" shapeId="0">
      <text>
        <t>Sum of rows 47-56: Year-end closing balance</t>
      </text>
    </comment>
    <comment ref="B66" authorId="0" shapeId="0">
      <text>
        <t>Links to: Year-end 2026 closing balance for Debt Schedule reference</t>
      </text>
    </comment>
  </commentList>
</comments>
</file>

<file path=xl/comments/comment26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loans.md, Paccar Loan 15
Extracted: 2026-05-14</t>
      </text>
    </comment>
    <comment ref="B6" authorId="0" shapeId="0">
      <text>
        <t>Loan: Paccar, 3 T680. Source: Meiborg_Debt_Schedule_202512.xlsx
Balance as of 12/31/2025</t>
      </text>
    </comment>
    <comment ref="B7" authorId="0" shapeId="0">
      <text>
        <t>Loan: Paccar, 3 T680. Source: Meiborg_Debt_Schedule_202512.xlsx</t>
      </text>
    </comment>
    <comment ref="B8" authorId="0" shapeId="0">
      <text>
        <t>Loan: Paccar, 3 T680. Source: Meiborg_Debt_Schedule_202512.xlsx</t>
      </text>
    </comment>
    <comment ref="C23" authorId="0" shapeId="0">
      <text>
        <t>Links to: Opening Balance input cell B6</t>
      </text>
    </comment>
    <comment ref="D23" authorId="0" shapeId="0">
      <text>
        <t>Loan: Paccar, 3 T680. Interest = Opening * Annual Rate / 12</t>
      </text>
    </comment>
    <comment ref="E23" authorId="0" shapeId="0">
      <text>
        <t>Loan: Paccar, 3 T680. Principal = MIN(Opening, Payment - Interest)</t>
      </text>
    </comment>
    <comment ref="F23" authorId="0" shapeId="0">
      <text>
        <t>Loan: Paccar, 3 T680. Closing = Opening - Principal</t>
      </text>
    </comment>
    <comment ref="C24" authorId="0" shapeId="0">
      <text>
        <t>Links to: Prior month closing balance row 23</t>
      </text>
    </comment>
    <comment ref="D24" authorId="0" shapeId="0">
      <text>
        <t>Loan: Paccar, 3 T680. Interest = Opening * Annual Rate / 12</t>
      </text>
    </comment>
    <comment ref="E24" authorId="0" shapeId="0">
      <text>
        <t>Loan: Paccar, 3 T680. Principal = MIN(Opening, Payment - Interest)</t>
      </text>
    </comment>
    <comment ref="F24" authorId="0" shapeId="0">
      <text>
        <t>Loan: Paccar, 3 T680. Closing = Opening - Principal</t>
      </text>
    </comment>
    <comment ref="C25" authorId="0" shapeId="0">
      <text>
        <t>Links to: Prior month closing balance row 24</t>
      </text>
    </comment>
    <comment ref="D25" authorId="0" shapeId="0">
      <text>
        <t>Loan: Paccar, 3 T680. Interest = Opening * Annual Rate / 12</t>
      </text>
    </comment>
    <comment ref="E25" authorId="0" shapeId="0">
      <text>
        <t>Loan: Paccar, 3 T680. Principal = MIN(Opening, Payment - Interest)</t>
      </text>
    </comment>
    <comment ref="F25" authorId="0" shapeId="0">
      <text>
        <t>Loan: Paccar, 3 T680. Closing = Opening - Principal</t>
      </text>
    </comment>
    <comment ref="C26" authorId="0" shapeId="0">
      <text>
        <t>Links to: Prior month closing balance row 25</t>
      </text>
    </comment>
    <comment ref="D26" authorId="0" shapeId="0">
      <text>
        <t>Loan: Paccar, 3 T680. Interest = Opening * Annual Rate / 12</t>
      </text>
    </comment>
    <comment ref="E26" authorId="0" shapeId="0">
      <text>
        <t>Loan: Paccar, 3 T680. Principal = MIN(Opening, Payment - Interest)</t>
      </text>
    </comment>
    <comment ref="F26" authorId="0" shapeId="0">
      <text>
        <t>Loan: Paccar, 3 T680. Closing = Opening - Principal</t>
      </text>
    </comment>
    <comment ref="C27" authorId="0" shapeId="0">
      <text>
        <t>Links to: Prior month closing balance row 26</t>
      </text>
    </comment>
    <comment ref="D27" authorId="0" shapeId="0">
      <text>
        <t>Loan: Paccar, 3 T680. Interest = Opening * Annual Rate / 12</t>
      </text>
    </comment>
    <comment ref="E27" authorId="0" shapeId="0">
      <text>
        <t>Loan: Paccar, 3 T680. Principal = MIN(Opening, Payment - Interest)</t>
      </text>
    </comment>
    <comment ref="F27" authorId="0" shapeId="0">
      <text>
        <t>Loan: Paccar, 3 T680. Closing = Opening - Principal</t>
      </text>
    </comment>
    <comment ref="C28" authorId="0" shapeId="0">
      <text>
        <t>Links to: Prior month closing balance row 27</t>
      </text>
    </comment>
    <comment ref="D28" authorId="0" shapeId="0">
      <text>
        <t>Loan: Paccar, 3 T680. Interest = Opening * Annual Rate / 12</t>
      </text>
    </comment>
    <comment ref="E28" authorId="0" shapeId="0">
      <text>
        <t>Loan: Paccar, 3 T680. Principal = MIN(Opening, Payment - Interest)</t>
      </text>
    </comment>
    <comment ref="F28" authorId="0" shapeId="0">
      <text>
        <t>Loan: Paccar, 3 T680. Closing = Opening - Principal</t>
      </text>
    </comment>
    <comment ref="C29" authorId="0" shapeId="0">
      <text>
        <t>Links to: Prior month closing balance row 28</t>
      </text>
    </comment>
    <comment ref="D29" authorId="0" shapeId="0">
      <text>
        <t>Loan: Paccar, 3 T680. Interest = Opening * Annual Rate / 12</t>
      </text>
    </comment>
    <comment ref="E29" authorId="0" shapeId="0">
      <text>
        <t>Loan: Paccar, 3 T680. Principal = MIN(Opening, Payment - Interest)</t>
      </text>
    </comment>
    <comment ref="F29" authorId="0" shapeId="0">
      <text>
        <t>Loan: Paccar, 3 T680. Closing = Opening - Principal</t>
      </text>
    </comment>
    <comment ref="C30" authorId="0" shapeId="0">
      <text>
        <t>Links to: Prior month closing balance row 29</t>
      </text>
    </comment>
    <comment ref="D30" authorId="0" shapeId="0">
      <text>
        <t>Loan: Paccar, 3 T680. Interest = Opening * Annual Rate / 12</t>
      </text>
    </comment>
    <comment ref="E30" authorId="0" shapeId="0">
      <text>
        <t>Loan: Paccar, 3 T680. Principal = MIN(Opening, Payment - Interest)</t>
      </text>
    </comment>
    <comment ref="F30" authorId="0" shapeId="0">
      <text>
        <t>Loan: Paccar, 3 T680. Closing = Opening - Principal</t>
      </text>
    </comment>
    <comment ref="C31" authorId="0" shapeId="0">
      <text>
        <t>Links to: Prior month closing balance row 30</t>
      </text>
    </comment>
    <comment ref="D31" authorId="0" shapeId="0">
      <text>
        <t>Loan: Paccar, 3 T680. Interest = Opening * Annual Rate / 12</t>
      </text>
    </comment>
    <comment ref="E31" authorId="0" shapeId="0">
      <text>
        <t>Loan: Paccar, 3 T680. Principal = MIN(Opening, Payment - Interest)</t>
      </text>
    </comment>
    <comment ref="F31" authorId="0" shapeId="0">
      <text>
        <t>Loan: Paccar, 3 T680. Closing = Opening - Principal</t>
      </text>
    </comment>
    <comment ref="C32" authorId="0" shapeId="0">
      <text>
        <t>Links to: Prior month closing balance row 31</t>
      </text>
    </comment>
    <comment ref="D32" authorId="0" shapeId="0">
      <text>
        <t>Loan: Paccar, 3 T680. Interest = Opening * Annual Rate / 12</t>
      </text>
    </comment>
    <comment ref="E32" authorId="0" shapeId="0">
      <text>
        <t>Loan: Paccar, 3 T680. Principal = MIN(Opening, Payment - Interest)</t>
      </text>
    </comment>
    <comment ref="F32" authorId="0" shapeId="0">
      <text>
        <t>Loan: Paccar, 3 T680. Closing = Opening - Principal</t>
      </text>
    </comment>
    <comment ref="C33" authorId="0" shapeId="0">
      <text>
        <t>Links to: Prior month closing balance row 32</t>
      </text>
    </comment>
    <comment ref="D33" authorId="0" shapeId="0">
      <text>
        <t>Loan: Paccar, 3 T680. Interest = Opening * Annual Rate / 12</t>
      </text>
    </comment>
    <comment ref="E33" authorId="0" shapeId="0">
      <text>
        <t>Loan: Paccar, 3 T680. Principal = MIN(Opening, Payment - Interest)</t>
      </text>
    </comment>
    <comment ref="F33" authorId="0" shapeId="0">
      <text>
        <t>Loan: Paccar, 3 T680. Closing = Opening - Principal</t>
      </text>
    </comment>
    <comment ref="C34" authorId="0" shapeId="0">
      <text>
        <t>Links to: Prior month closing balance row 33</t>
      </text>
    </comment>
    <comment ref="D34" authorId="0" shapeId="0">
      <text>
        <t>Loan: Paccar, 3 T680. Interest = Opening * Annual Rate / 12</t>
      </text>
    </comment>
    <comment ref="E34" authorId="0" shapeId="0">
      <text>
        <t>Loan: Paccar, 3 T680. Principal = MIN(Opening, Payment - Interest)</t>
      </text>
    </comment>
    <comment ref="F34" authorId="0" shapeId="0">
      <text>
        <t>Loan: Paccar, 3 T680. Closing = Opening - Principal</t>
      </text>
    </comment>
    <comment ref="C35" authorId="0" shapeId="0">
      <text>
        <t>Links to: Prior month closing balance row 34</t>
      </text>
    </comment>
    <comment ref="D35" authorId="0" shapeId="0">
      <text>
        <t>Loan: Paccar, 3 T680. Interest = Opening * Annual Rate / 12</t>
      </text>
    </comment>
    <comment ref="E35" authorId="0" shapeId="0">
      <text>
        <t>Loan: Paccar, 3 T680. Principal = MIN(Opening, Payment - Interest)</t>
      </text>
    </comment>
    <comment ref="F35" authorId="0" shapeId="0">
      <text>
        <t>Loan: Paccar, 3 T680. Closing = Opening - Principal</t>
      </text>
    </comment>
    <comment ref="C36" authorId="0" shapeId="0">
      <text>
        <t>Links to: Prior month closing balance row 35</t>
      </text>
    </comment>
    <comment ref="D36" authorId="0" shapeId="0">
      <text>
        <t>Loan: Paccar, 3 T680. Interest = Opening * Annual Rate / 12</t>
      </text>
    </comment>
    <comment ref="E36" authorId="0" shapeId="0">
      <text>
        <t>Loan: Paccar, 3 T680. Principal = MIN(Opening, Payment - Interest)</t>
      </text>
    </comment>
    <comment ref="F36" authorId="0" shapeId="0">
      <text>
        <t>Loan: Paccar, 3 T680. Closing = Opening - Principal</t>
      </text>
    </comment>
    <comment ref="C37" authorId="0" shapeId="0">
      <text>
        <t>Links to: Prior month closing balance row 36</t>
      </text>
    </comment>
    <comment ref="D37" authorId="0" shapeId="0">
      <text>
        <t>Loan: Paccar, 3 T680. Interest = Opening * Annual Rate / 12</t>
      </text>
    </comment>
    <comment ref="E37" authorId="0" shapeId="0">
      <text>
        <t>Loan: Paccar, 3 T680. Principal = MIN(Opening, Payment - Interest)</t>
      </text>
    </comment>
    <comment ref="F37" authorId="0" shapeId="0">
      <text>
        <t>Loan: Paccar, 3 T680. Closing = Opening - Principal</t>
      </text>
    </comment>
    <comment ref="C38" authorId="0" shapeId="0">
      <text>
        <t>Links to: Prior month closing balance row 37</t>
      </text>
    </comment>
    <comment ref="D38" authorId="0" shapeId="0">
      <text>
        <t>Loan: Paccar, 3 T680. Interest = Opening * Annual Rate / 12</t>
      </text>
    </comment>
    <comment ref="E38" authorId="0" shapeId="0">
      <text>
        <t>Loan: Paccar, 3 T680. Principal = MIN(Opening, Payment - Interest)</t>
      </text>
    </comment>
    <comment ref="F38" authorId="0" shapeId="0">
      <text>
        <t>Loan: Paccar, 3 T680. Closing = Opening - Principal</t>
      </text>
    </comment>
    <comment ref="C39" authorId="0" shapeId="0">
      <text>
        <t>Links to: Prior month closing balance row 38</t>
      </text>
    </comment>
    <comment ref="D39" authorId="0" shapeId="0">
      <text>
        <t>Loan: Paccar, 3 T680. Interest = Opening * Annual Rate / 12</t>
      </text>
    </comment>
    <comment ref="E39" authorId="0" shapeId="0">
      <text>
        <t>Loan: Paccar, 3 T680. Principal = MIN(Opening, Payment - Interest)</t>
      </text>
    </comment>
    <comment ref="F39" authorId="0" shapeId="0">
      <text>
        <t>Loan: Paccar, 3 T680. Closing = Opening - Principal</t>
      </text>
    </comment>
    <comment ref="C40" authorId="0" shapeId="0">
      <text>
        <t>Links to: Prior month closing balance row 39</t>
      </text>
    </comment>
    <comment ref="D40" authorId="0" shapeId="0">
      <text>
        <t>Loan: Paccar, 3 T680. Interest = Opening * Annual Rate / 12</t>
      </text>
    </comment>
    <comment ref="E40" authorId="0" shapeId="0">
      <text>
        <t>Loan: Paccar, 3 T680. Principal = MIN(Opening, Payment - Interest)</t>
      </text>
    </comment>
    <comment ref="F40" authorId="0" shapeId="0">
      <text>
        <t>Loan: Paccar, 3 T680. Closing = Opening - Principal</t>
      </text>
    </comment>
    <comment ref="C41" authorId="0" shapeId="0">
      <text>
        <t>Links to: Prior month closing balance row 40</t>
      </text>
    </comment>
    <comment ref="D41" authorId="0" shapeId="0">
      <text>
        <t>Loan: Paccar, 3 T680. Interest = Opening * Annual Rate / 12</t>
      </text>
    </comment>
    <comment ref="E41" authorId="0" shapeId="0">
      <text>
        <t>Loan: Paccar, 3 T680. Principal = MIN(Opening, Payment - Interest)</t>
      </text>
    </comment>
    <comment ref="F41" authorId="0" shapeId="0">
      <text>
        <t>Loan: Paccar, 3 T680. Closing = Opening - Principal</t>
      </text>
    </comment>
    <comment ref="C42" authorId="0" shapeId="0">
      <text>
        <t>Links to: Prior month closing balance row 41</t>
      </text>
    </comment>
    <comment ref="D42" authorId="0" shapeId="0">
      <text>
        <t>Loan: Paccar, 3 T680. Interest = Opening * Annual Rate / 12</t>
      </text>
    </comment>
    <comment ref="E42" authorId="0" shapeId="0">
      <text>
        <t>Loan: Paccar, 3 T680. Principal = MIN(Opening, Payment - Interest)</t>
      </text>
    </comment>
    <comment ref="F42" authorId="0" shapeId="0">
      <text>
        <t>Loan: Paccar, 3 T680. Closing = Opening - Principal</t>
      </text>
    </comment>
    <comment ref="C43" authorId="0" shapeId="0">
      <text>
        <t>Links to: Prior month closing balance row 42</t>
      </text>
    </comment>
    <comment ref="D43" authorId="0" shapeId="0">
      <text>
        <t>Loan: Paccar, 3 T680. Interest = Opening * Annual Rate / 12</t>
      </text>
    </comment>
    <comment ref="E43" authorId="0" shapeId="0">
      <text>
        <t>Loan: Paccar, 3 T680. Principal = MIN(Opening, Payment - Interest)</t>
      </text>
    </comment>
    <comment ref="F43" authorId="0" shapeId="0">
      <text>
        <t>Loan: Paccar, 3 T680. Closing = Opening - Principal</t>
      </text>
    </comment>
    <comment ref="C44" authorId="0" shapeId="0">
      <text>
        <t>Links to: Prior month closing balance row 43</t>
      </text>
    </comment>
    <comment ref="D44" authorId="0" shapeId="0">
      <text>
        <t>Loan: Paccar, 3 T680. Interest = Opening * Annual Rate / 12</t>
      </text>
    </comment>
    <comment ref="E44" authorId="0" shapeId="0">
      <text>
        <t>Loan: Paccar, 3 T680. Principal = MIN(Opening, Payment - Interest)</t>
      </text>
    </comment>
    <comment ref="F44" authorId="0" shapeId="0">
      <text>
        <t>Loan: Paccar, 3 T680. Closing = Opening - Principal</t>
      </text>
    </comment>
    <comment ref="C45" authorId="0" shapeId="0">
      <text>
        <t>Links to: Prior month closing balance row 44</t>
      </text>
    </comment>
    <comment ref="D45" authorId="0" shapeId="0">
      <text>
        <t>Loan: Paccar, 3 T680. Interest = Opening * Annual Rate / 12</t>
      </text>
    </comment>
    <comment ref="E45" authorId="0" shapeId="0">
      <text>
        <t>Loan: Paccar, 3 T680. Principal = MIN(Opening, Payment - Interest)</t>
      </text>
    </comment>
    <comment ref="F45" authorId="0" shapeId="0">
      <text>
        <t>Loan: Paccar, 3 T680. Closing = Opening - Principal</t>
      </text>
    </comment>
    <comment ref="C46" authorId="0" shapeId="0">
      <text>
        <t>Links to: Prior month closing balance row 45</t>
      </text>
    </comment>
    <comment ref="D46" authorId="0" shapeId="0">
      <text>
        <t>Loan: Paccar, 3 T680. Interest = Opening * Annual Rate / 12</t>
      </text>
    </comment>
    <comment ref="E46" authorId="0" shapeId="0">
      <text>
        <t>Loan: Paccar, 3 T680. Principal = MIN(Opening, Payment - Interest)</t>
      </text>
    </comment>
    <comment ref="F46" authorId="0" shapeId="0">
      <text>
        <t>Loan: Paccar, 3 T680. Closing = Opening - Principal</t>
      </text>
    </comment>
    <comment ref="C47" authorId="0" shapeId="0">
      <text>
        <t>Links to: Prior month closing balance row 46</t>
      </text>
    </comment>
    <comment ref="D47" authorId="0" shapeId="0">
      <text>
        <t>Loan: Paccar, 3 T680. Interest = Opening * Annual Rate / 12</t>
      </text>
    </comment>
    <comment ref="E47" authorId="0" shapeId="0">
      <text>
        <t>Loan: Paccar, 3 T680. Principal = MIN(Opening, Payment - Interest)</t>
      </text>
    </comment>
    <comment ref="F47" authorId="0" shapeId="0">
      <text>
        <t>Loan: Paccar, 3 T680. Closing = Opening - Principal</t>
      </text>
    </comment>
    <comment ref="C48" authorId="0" shapeId="0">
      <text>
        <t>Links to: Prior month closing balance row 47</t>
      </text>
    </comment>
    <comment ref="D48" authorId="0" shapeId="0">
      <text>
        <t>Loan: Paccar, 3 T680. Interest = Opening * Annual Rate / 12</t>
      </text>
    </comment>
    <comment ref="E48" authorId="0" shapeId="0">
      <text>
        <t>Loan: Paccar, 3 T680. Principal = MIN(Opening, Payment - Interest)</t>
      </text>
    </comment>
    <comment ref="F48" authorId="0" shapeId="0">
      <text>
        <t>Loan: Paccar, 3 T680. Closing = Opening - Principal</t>
      </text>
    </comment>
    <comment ref="C49" authorId="0" shapeId="0">
      <text>
        <t>Links to: Prior month closing balance row 48</t>
      </text>
    </comment>
    <comment ref="D49" authorId="0" shapeId="0">
      <text>
        <t>Loan: Paccar, 3 T680. Interest = Opening * Annual Rate / 12</t>
      </text>
    </comment>
    <comment ref="E49" authorId="0" shapeId="0">
      <text>
        <t>Loan: Paccar, 3 T680. Principal = MIN(Opening, Payment - Interest)</t>
      </text>
    </comment>
    <comment ref="F49" authorId="0" shapeId="0">
      <text>
        <t>Loan: Paccar, 3 T680. Closing = Opening - Principal</t>
      </text>
    </comment>
    <comment ref="C50" authorId="0" shapeId="0">
      <text>
        <t>Links to: Prior month closing balance row 49</t>
      </text>
    </comment>
    <comment ref="D50" authorId="0" shapeId="0">
      <text>
        <t>Loan: Paccar, 3 T680. Interest = Opening * Annual Rate / 12</t>
      </text>
    </comment>
    <comment ref="E50" authorId="0" shapeId="0">
      <text>
        <t>Loan: Paccar, 3 T680. Principal = MIN(Opening, Payment - Interest)</t>
      </text>
    </comment>
    <comment ref="F50" authorId="0" shapeId="0">
      <text>
        <t>Loan: Paccar, 3 T680. Closing = Opening - Principal</t>
      </text>
    </comment>
    <comment ref="C51" authorId="0" shapeId="0">
      <text>
        <t>Links to: Prior month closing balance row 50</t>
      </text>
    </comment>
    <comment ref="D51" authorId="0" shapeId="0">
      <text>
        <t>Loan: Paccar, 3 T680. Interest = Opening * Annual Rate / 12</t>
      </text>
    </comment>
    <comment ref="E51" authorId="0" shapeId="0">
      <text>
        <t>Loan: Paccar, 3 T680. Principal = MIN(Opening, Payment - Interest)</t>
      </text>
    </comment>
    <comment ref="F51" authorId="0" shapeId="0">
      <text>
        <t>Loan: Paccar, 3 T680. Closing = Opening - Principal</t>
      </text>
    </comment>
    <comment ref="C52" authorId="0" shapeId="0">
      <text>
        <t>Links to: Prior month closing balance row 51</t>
      </text>
    </comment>
    <comment ref="D52" authorId="0" shapeId="0">
      <text>
        <t>Loan: Paccar, 3 T680. Interest = Opening * Annual Rate / 12</t>
      </text>
    </comment>
    <comment ref="E52" authorId="0" shapeId="0">
      <text>
        <t>Loan: Paccar, 3 T680. Principal = MIN(Opening, Payment - Interest)</t>
      </text>
    </comment>
    <comment ref="F52" authorId="0" shapeId="0">
      <text>
        <t>Loan: Paccar, 3 T680. Closing = Opening - Principal</t>
      </text>
    </comment>
    <comment ref="C53" authorId="0" shapeId="0">
      <text>
        <t>Links to: Prior month closing balance row 52</t>
      </text>
    </comment>
    <comment ref="D53" authorId="0" shapeId="0">
      <text>
        <t>Loan: Paccar, 3 T680. Interest = Opening * Annual Rate / 12</t>
      </text>
    </comment>
    <comment ref="E53" authorId="0" shapeId="0">
      <text>
        <t>Loan: Paccar, 3 T680. Principal = MIN(Opening, Payment - Interest)</t>
      </text>
    </comment>
    <comment ref="F53" authorId="0" shapeId="0">
      <text>
        <t>Loan: Paccar, 3 T680. Closing = Opening - Principal</t>
      </text>
    </comment>
    <comment ref="C54" authorId="0" shapeId="0">
      <text>
        <t>Links to: Prior month closing balance row 53</t>
      </text>
    </comment>
    <comment ref="D54" authorId="0" shapeId="0">
      <text>
        <t>Loan: Paccar, 3 T680. Interest = Opening * Annual Rate / 12</t>
      </text>
    </comment>
    <comment ref="E54" authorId="0" shapeId="0">
      <text>
        <t>Loan: Paccar, 3 T680. Principal = MIN(Opening, Payment - Interest)</t>
      </text>
    </comment>
    <comment ref="F54" authorId="0" shapeId="0">
      <text>
        <t>Loan: Paccar, 3 T680. Closing = Opening - Principal</t>
      </text>
    </comment>
    <comment ref="C55" authorId="0" shapeId="0">
      <text>
        <t>Links to: Prior month closing balance row 54</t>
      </text>
    </comment>
    <comment ref="D55" authorId="0" shapeId="0">
      <text>
        <t>Loan: Paccar, 3 T680. Interest = Opening * Annual Rate / 12</t>
      </text>
    </comment>
    <comment ref="E55" authorId="0" shapeId="0">
      <text>
        <t>Loan: Paccar, 3 T680. Principal = MIN(Opening, Payment - Interest)</t>
      </text>
    </comment>
    <comment ref="F55" authorId="0" shapeId="0">
      <text>
        <t>Loan: Paccar, 3 T680. Closing = Opening - Principal</t>
      </text>
    </comment>
    <comment ref="C56" authorId="0" shapeId="0">
      <text>
        <t>Links to: Prior month closing balance row 55</t>
      </text>
    </comment>
    <comment ref="D56" authorId="0" shapeId="0">
      <text>
        <t>Loan: Paccar, 3 T680. Interest = Opening * Annual Rate / 12</t>
      </text>
    </comment>
    <comment ref="E56" authorId="0" shapeId="0">
      <text>
        <t>Loan: Paccar, 3 T680. Principal = MIN(Opening, Payment - Interest)</t>
      </text>
    </comment>
    <comment ref="F56" authorId="0" shapeId="0">
      <text>
        <t>Loan: Paccar, 3 T680. Closing = Opening - Principal</t>
      </text>
    </comment>
    <comment ref="C61" authorId="0" shapeId="0">
      <text>
        <t>Sum of rows 23-34: Annual opening balance</t>
      </text>
    </comment>
    <comment ref="D61" authorId="0" shapeId="0">
      <text>
        <t>Sum of rows 23-34: Annual interest expense</t>
      </text>
    </comment>
    <comment ref="E61" authorId="0" shapeId="0">
      <text>
        <t>Sum of rows 23-34: Annual principal repayment</t>
      </text>
    </comment>
    <comment ref="F61" authorId="0" shapeId="0">
      <text>
        <t>Sum of rows 23-34: Year-end closing balance</t>
      </text>
    </comment>
    <comment ref="C62" authorId="0" shapeId="0">
      <text>
        <t>Sum of rows 35-46: Annual opening balance</t>
      </text>
    </comment>
    <comment ref="D62" authorId="0" shapeId="0">
      <text>
        <t>Sum of rows 35-46: Annual interest expense</t>
      </text>
    </comment>
    <comment ref="E62" authorId="0" shapeId="0">
      <text>
        <t>Sum of rows 35-46: Annual principal repayment</t>
      </text>
    </comment>
    <comment ref="F62" authorId="0" shapeId="0">
      <text>
        <t>Sum of rows 35-46: Year-end closing balance</t>
      </text>
    </comment>
    <comment ref="C63" authorId="0" shapeId="0">
      <text>
        <t>Sum of rows 47-56: Annual opening balance</t>
      </text>
    </comment>
    <comment ref="D63" authorId="0" shapeId="0">
      <text>
        <t>Sum of rows 47-56: Annual interest expense</t>
      </text>
    </comment>
    <comment ref="E63" authorId="0" shapeId="0">
      <text>
        <t>Sum of rows 47-56: Annual principal repayment</t>
      </text>
    </comment>
    <comment ref="F63" authorId="0" shapeId="0">
      <text>
        <t>Sum of rows 47-56: Year-end closing balance</t>
      </text>
    </comment>
    <comment ref="B66" authorId="0" shapeId="0">
      <text>
        <t>Links to: Year-end 2026 closing balance for Debt Schedule reference</t>
      </text>
    </comment>
  </commentList>
</comments>
</file>

<file path=xl/comments/comment27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loans.md, Paccar Loan 16
Extracted: 2026-05-14</t>
      </text>
    </comment>
    <comment ref="B6" authorId="0" shapeId="0">
      <text>
        <t>Loan: Paccar, 3 T680. Source: Meiborg_Debt_Schedule_202512.xlsx
Balance as of 12/31/2025</t>
      </text>
    </comment>
    <comment ref="B7" authorId="0" shapeId="0">
      <text>
        <t>Loan: Paccar, 3 T680. Source: Meiborg_Debt_Schedule_202512.xlsx</t>
      </text>
    </comment>
    <comment ref="B8" authorId="0" shapeId="0">
      <text>
        <t>Loan: Paccar, 3 T680. Source: Meiborg_Debt_Schedule_202512.xlsx</t>
      </text>
    </comment>
    <comment ref="C23" authorId="0" shapeId="0">
      <text>
        <t>Links to: Opening Balance input cell B6</t>
      </text>
    </comment>
    <comment ref="D23" authorId="0" shapeId="0">
      <text>
        <t>Loan: Paccar, 3 T680. Interest = Opening * Annual Rate / 12</t>
      </text>
    </comment>
    <comment ref="E23" authorId="0" shapeId="0">
      <text>
        <t>Loan: Paccar, 3 T680. Principal = MIN(Opening, Payment - Interest)</t>
      </text>
    </comment>
    <comment ref="F23" authorId="0" shapeId="0">
      <text>
        <t>Loan: Paccar, 3 T680. Closing = Opening - Principal</t>
      </text>
    </comment>
    <comment ref="C24" authorId="0" shapeId="0">
      <text>
        <t>Links to: Prior month closing balance row 23</t>
      </text>
    </comment>
    <comment ref="D24" authorId="0" shapeId="0">
      <text>
        <t>Loan: Paccar, 3 T680. Interest = Opening * Annual Rate / 12</t>
      </text>
    </comment>
    <comment ref="E24" authorId="0" shapeId="0">
      <text>
        <t>Loan: Paccar, 3 T680. Principal = MIN(Opening, Payment - Interest)</t>
      </text>
    </comment>
    <comment ref="F24" authorId="0" shapeId="0">
      <text>
        <t>Loan: Paccar, 3 T680. Closing = Opening - Principal</t>
      </text>
    </comment>
    <comment ref="C25" authorId="0" shapeId="0">
      <text>
        <t>Links to: Prior month closing balance row 24</t>
      </text>
    </comment>
    <comment ref="D25" authorId="0" shapeId="0">
      <text>
        <t>Loan: Paccar, 3 T680. Interest = Opening * Annual Rate / 12</t>
      </text>
    </comment>
    <comment ref="E25" authorId="0" shapeId="0">
      <text>
        <t>Loan: Paccar, 3 T680. Principal = MIN(Opening, Payment - Interest)</t>
      </text>
    </comment>
    <comment ref="F25" authorId="0" shapeId="0">
      <text>
        <t>Loan: Paccar, 3 T680. Closing = Opening - Principal</t>
      </text>
    </comment>
    <comment ref="C26" authorId="0" shapeId="0">
      <text>
        <t>Links to: Prior month closing balance row 25</t>
      </text>
    </comment>
    <comment ref="D26" authorId="0" shapeId="0">
      <text>
        <t>Loan: Paccar, 3 T680. Interest = Opening * Annual Rate / 12</t>
      </text>
    </comment>
    <comment ref="E26" authorId="0" shapeId="0">
      <text>
        <t>Loan: Paccar, 3 T680. Principal = MIN(Opening, Payment - Interest)</t>
      </text>
    </comment>
    <comment ref="F26" authorId="0" shapeId="0">
      <text>
        <t>Loan: Paccar, 3 T680. Closing = Opening - Principal</t>
      </text>
    </comment>
    <comment ref="C27" authorId="0" shapeId="0">
      <text>
        <t>Links to: Prior month closing balance row 26</t>
      </text>
    </comment>
    <comment ref="D27" authorId="0" shapeId="0">
      <text>
        <t>Loan: Paccar, 3 T680. Interest = Opening * Annual Rate / 12</t>
      </text>
    </comment>
    <comment ref="E27" authorId="0" shapeId="0">
      <text>
        <t>Loan: Paccar, 3 T680. Principal = MIN(Opening, Payment - Interest)</t>
      </text>
    </comment>
    <comment ref="F27" authorId="0" shapeId="0">
      <text>
        <t>Loan: Paccar, 3 T680. Closing = Opening - Principal</t>
      </text>
    </comment>
    <comment ref="C28" authorId="0" shapeId="0">
      <text>
        <t>Links to: Prior month closing balance row 27</t>
      </text>
    </comment>
    <comment ref="D28" authorId="0" shapeId="0">
      <text>
        <t>Loan: Paccar, 3 T680. Interest = Opening * Annual Rate / 12</t>
      </text>
    </comment>
    <comment ref="E28" authorId="0" shapeId="0">
      <text>
        <t>Loan: Paccar, 3 T680. Principal = MIN(Opening, Payment - Interest)</t>
      </text>
    </comment>
    <comment ref="F28" authorId="0" shapeId="0">
      <text>
        <t>Loan: Paccar, 3 T680. Closing = Opening - Principal</t>
      </text>
    </comment>
    <comment ref="C29" authorId="0" shapeId="0">
      <text>
        <t>Links to: Prior month closing balance row 28</t>
      </text>
    </comment>
    <comment ref="D29" authorId="0" shapeId="0">
      <text>
        <t>Loan: Paccar, 3 T680. Interest = Opening * Annual Rate / 12</t>
      </text>
    </comment>
    <comment ref="E29" authorId="0" shapeId="0">
      <text>
        <t>Loan: Paccar, 3 T680. Principal = MIN(Opening, Payment - Interest)</t>
      </text>
    </comment>
    <comment ref="F29" authorId="0" shapeId="0">
      <text>
        <t>Loan: Paccar, 3 T680. Closing = Opening - Principal</t>
      </text>
    </comment>
    <comment ref="C30" authorId="0" shapeId="0">
      <text>
        <t>Links to: Prior month closing balance row 29</t>
      </text>
    </comment>
    <comment ref="D30" authorId="0" shapeId="0">
      <text>
        <t>Loan: Paccar, 3 T680. Interest = Opening * Annual Rate / 12</t>
      </text>
    </comment>
    <comment ref="E30" authorId="0" shapeId="0">
      <text>
        <t>Loan: Paccar, 3 T680. Principal = MIN(Opening, Payment - Interest)</t>
      </text>
    </comment>
    <comment ref="F30" authorId="0" shapeId="0">
      <text>
        <t>Loan: Paccar, 3 T680. Closing = Opening - Principal</t>
      </text>
    </comment>
    <comment ref="C31" authorId="0" shapeId="0">
      <text>
        <t>Links to: Prior month closing balance row 30</t>
      </text>
    </comment>
    <comment ref="D31" authorId="0" shapeId="0">
      <text>
        <t>Loan: Paccar, 3 T680. Interest = Opening * Annual Rate / 12</t>
      </text>
    </comment>
    <comment ref="E31" authorId="0" shapeId="0">
      <text>
        <t>Loan: Paccar, 3 T680. Principal = MIN(Opening, Payment - Interest)</t>
      </text>
    </comment>
    <comment ref="F31" authorId="0" shapeId="0">
      <text>
        <t>Loan: Paccar, 3 T680. Closing = Opening - Principal</t>
      </text>
    </comment>
    <comment ref="C32" authorId="0" shapeId="0">
      <text>
        <t>Links to: Prior month closing balance row 31</t>
      </text>
    </comment>
    <comment ref="D32" authorId="0" shapeId="0">
      <text>
        <t>Loan: Paccar, 3 T680. Interest = Opening * Annual Rate / 12</t>
      </text>
    </comment>
    <comment ref="E32" authorId="0" shapeId="0">
      <text>
        <t>Loan: Paccar, 3 T680. Principal = MIN(Opening, Payment - Interest)</t>
      </text>
    </comment>
    <comment ref="F32" authorId="0" shapeId="0">
      <text>
        <t>Loan: Paccar, 3 T680. Closing = Opening - Principal</t>
      </text>
    </comment>
    <comment ref="C33" authorId="0" shapeId="0">
      <text>
        <t>Links to: Prior month closing balance row 32</t>
      </text>
    </comment>
    <comment ref="D33" authorId="0" shapeId="0">
      <text>
        <t>Loan: Paccar, 3 T680. Interest = Opening * Annual Rate / 12</t>
      </text>
    </comment>
    <comment ref="E33" authorId="0" shapeId="0">
      <text>
        <t>Loan: Paccar, 3 T680. Principal = MIN(Opening, Payment - Interest)</t>
      </text>
    </comment>
    <comment ref="F33" authorId="0" shapeId="0">
      <text>
        <t>Loan: Paccar, 3 T680. Closing = Opening - Principal</t>
      </text>
    </comment>
    <comment ref="C34" authorId="0" shapeId="0">
      <text>
        <t>Links to: Prior month closing balance row 33</t>
      </text>
    </comment>
    <comment ref="D34" authorId="0" shapeId="0">
      <text>
        <t>Loan: Paccar, 3 T680. Interest = Opening * Annual Rate / 12</t>
      </text>
    </comment>
    <comment ref="E34" authorId="0" shapeId="0">
      <text>
        <t>Loan: Paccar, 3 T680. Principal = MIN(Opening, Payment - Interest)</t>
      </text>
    </comment>
    <comment ref="F34" authorId="0" shapeId="0">
      <text>
        <t>Loan: Paccar, 3 T680. Closing = Opening - Principal</t>
      </text>
    </comment>
    <comment ref="C35" authorId="0" shapeId="0">
      <text>
        <t>Links to: Prior month closing balance row 34</t>
      </text>
    </comment>
    <comment ref="D35" authorId="0" shapeId="0">
      <text>
        <t>Loan: Paccar, 3 T680. Interest = Opening * Annual Rate / 12</t>
      </text>
    </comment>
    <comment ref="E35" authorId="0" shapeId="0">
      <text>
        <t>Loan: Paccar, 3 T680. Principal = MIN(Opening, Payment - Interest)</t>
      </text>
    </comment>
    <comment ref="F35" authorId="0" shapeId="0">
      <text>
        <t>Loan: Paccar, 3 T680. Closing = Opening - Principal</t>
      </text>
    </comment>
    <comment ref="C36" authorId="0" shapeId="0">
      <text>
        <t>Links to: Prior month closing balance row 35</t>
      </text>
    </comment>
    <comment ref="D36" authorId="0" shapeId="0">
      <text>
        <t>Loan: Paccar, 3 T680. Interest = Opening * Annual Rate / 12</t>
      </text>
    </comment>
    <comment ref="E36" authorId="0" shapeId="0">
      <text>
        <t>Loan: Paccar, 3 T680. Principal = MIN(Opening, Payment - Interest)</t>
      </text>
    </comment>
    <comment ref="F36" authorId="0" shapeId="0">
      <text>
        <t>Loan: Paccar, 3 T680. Closing = Opening - Principal</t>
      </text>
    </comment>
    <comment ref="C37" authorId="0" shapeId="0">
      <text>
        <t>Links to: Prior month closing balance row 36</t>
      </text>
    </comment>
    <comment ref="D37" authorId="0" shapeId="0">
      <text>
        <t>Loan: Paccar, 3 T680. Interest = Opening * Annual Rate / 12</t>
      </text>
    </comment>
    <comment ref="E37" authorId="0" shapeId="0">
      <text>
        <t>Loan: Paccar, 3 T680. Principal = MIN(Opening, Payment - Interest)</t>
      </text>
    </comment>
    <comment ref="F37" authorId="0" shapeId="0">
      <text>
        <t>Loan: Paccar, 3 T680. Closing = Opening - Principal</t>
      </text>
    </comment>
    <comment ref="C38" authorId="0" shapeId="0">
      <text>
        <t>Links to: Prior month closing balance row 37</t>
      </text>
    </comment>
    <comment ref="D38" authorId="0" shapeId="0">
      <text>
        <t>Loan: Paccar, 3 T680. Interest = Opening * Annual Rate / 12</t>
      </text>
    </comment>
    <comment ref="E38" authorId="0" shapeId="0">
      <text>
        <t>Loan: Paccar, 3 T680. Principal = MIN(Opening, Payment - Interest)</t>
      </text>
    </comment>
    <comment ref="F38" authorId="0" shapeId="0">
      <text>
        <t>Loan: Paccar, 3 T680. Closing = Opening - Principal</t>
      </text>
    </comment>
    <comment ref="C39" authorId="0" shapeId="0">
      <text>
        <t>Links to: Prior month closing balance row 38</t>
      </text>
    </comment>
    <comment ref="D39" authorId="0" shapeId="0">
      <text>
        <t>Loan: Paccar, 3 T680. Interest = Opening * Annual Rate / 12</t>
      </text>
    </comment>
    <comment ref="E39" authorId="0" shapeId="0">
      <text>
        <t>Loan: Paccar, 3 T680. Principal = MIN(Opening, Payment - Interest)</t>
      </text>
    </comment>
    <comment ref="F39" authorId="0" shapeId="0">
      <text>
        <t>Loan: Paccar, 3 T680. Closing = Opening - Principal</t>
      </text>
    </comment>
    <comment ref="C40" authorId="0" shapeId="0">
      <text>
        <t>Links to: Prior month closing balance row 39</t>
      </text>
    </comment>
    <comment ref="D40" authorId="0" shapeId="0">
      <text>
        <t>Loan: Paccar, 3 T680. Interest = Opening * Annual Rate / 12</t>
      </text>
    </comment>
    <comment ref="E40" authorId="0" shapeId="0">
      <text>
        <t>Loan: Paccar, 3 T680. Principal = MIN(Opening, Payment - Interest)</t>
      </text>
    </comment>
    <comment ref="F40" authorId="0" shapeId="0">
      <text>
        <t>Loan: Paccar, 3 T680. Closing = Opening - Principal</t>
      </text>
    </comment>
    <comment ref="C41" authorId="0" shapeId="0">
      <text>
        <t>Links to: Prior month closing balance row 40</t>
      </text>
    </comment>
    <comment ref="D41" authorId="0" shapeId="0">
      <text>
        <t>Loan: Paccar, 3 T680. Interest = Opening * Annual Rate / 12</t>
      </text>
    </comment>
    <comment ref="E41" authorId="0" shapeId="0">
      <text>
        <t>Loan: Paccar, 3 T680. Principal = MIN(Opening, Payment - Interest)</t>
      </text>
    </comment>
    <comment ref="F41" authorId="0" shapeId="0">
      <text>
        <t>Loan: Paccar, 3 T680. Closing = Opening - Principal</t>
      </text>
    </comment>
    <comment ref="C42" authorId="0" shapeId="0">
      <text>
        <t>Links to: Prior month closing balance row 41</t>
      </text>
    </comment>
    <comment ref="D42" authorId="0" shapeId="0">
      <text>
        <t>Loan: Paccar, 3 T680. Interest = Opening * Annual Rate / 12</t>
      </text>
    </comment>
    <comment ref="E42" authorId="0" shapeId="0">
      <text>
        <t>Loan: Paccar, 3 T680. Principal = MIN(Opening, Payment - Interest)</t>
      </text>
    </comment>
    <comment ref="F42" authorId="0" shapeId="0">
      <text>
        <t>Loan: Paccar, 3 T680. Closing = Opening - Principal</t>
      </text>
    </comment>
    <comment ref="C43" authorId="0" shapeId="0">
      <text>
        <t>Links to: Prior month closing balance row 42</t>
      </text>
    </comment>
    <comment ref="D43" authorId="0" shapeId="0">
      <text>
        <t>Loan: Paccar, 3 T680. Interest = Opening * Annual Rate / 12</t>
      </text>
    </comment>
    <comment ref="E43" authorId="0" shapeId="0">
      <text>
        <t>Loan: Paccar, 3 T680. Principal = MIN(Opening, Payment - Interest)</t>
      </text>
    </comment>
    <comment ref="F43" authorId="0" shapeId="0">
      <text>
        <t>Loan: Paccar, 3 T680. Closing = Opening - Principal</t>
      </text>
    </comment>
    <comment ref="C44" authorId="0" shapeId="0">
      <text>
        <t>Links to: Prior month closing balance row 43</t>
      </text>
    </comment>
    <comment ref="D44" authorId="0" shapeId="0">
      <text>
        <t>Loan: Paccar, 3 T680. Interest = Opening * Annual Rate / 12</t>
      </text>
    </comment>
    <comment ref="E44" authorId="0" shapeId="0">
      <text>
        <t>Loan: Paccar, 3 T680. Principal = MIN(Opening, Payment - Interest)</t>
      </text>
    </comment>
    <comment ref="F44" authorId="0" shapeId="0">
      <text>
        <t>Loan: Paccar, 3 T680. Closing = Opening - Principal</t>
      </text>
    </comment>
    <comment ref="C45" authorId="0" shapeId="0">
      <text>
        <t>Links to: Prior month closing balance row 44</t>
      </text>
    </comment>
    <comment ref="D45" authorId="0" shapeId="0">
      <text>
        <t>Loan: Paccar, 3 T680. Interest = Opening * Annual Rate / 12</t>
      </text>
    </comment>
    <comment ref="E45" authorId="0" shapeId="0">
      <text>
        <t>Loan: Paccar, 3 T680. Principal = MIN(Opening, Payment - Interest)</t>
      </text>
    </comment>
    <comment ref="F45" authorId="0" shapeId="0">
      <text>
        <t>Loan: Paccar, 3 T680. Closing = Opening - Principal</t>
      </text>
    </comment>
    <comment ref="C46" authorId="0" shapeId="0">
      <text>
        <t>Links to: Prior month closing balance row 45</t>
      </text>
    </comment>
    <comment ref="D46" authorId="0" shapeId="0">
      <text>
        <t>Loan: Paccar, 3 T680. Interest = Opening * Annual Rate / 12</t>
      </text>
    </comment>
    <comment ref="E46" authorId="0" shapeId="0">
      <text>
        <t>Loan: Paccar, 3 T680. Principal = MIN(Opening, Payment - Interest)</t>
      </text>
    </comment>
    <comment ref="F46" authorId="0" shapeId="0">
      <text>
        <t>Loan: Paccar, 3 T680. Closing = Opening - Principal</t>
      </text>
    </comment>
    <comment ref="C47" authorId="0" shapeId="0">
      <text>
        <t>Links to: Prior month closing balance row 46</t>
      </text>
    </comment>
    <comment ref="D47" authorId="0" shapeId="0">
      <text>
        <t>Loan: Paccar, 3 T680. Interest = Opening * Annual Rate / 12</t>
      </text>
    </comment>
    <comment ref="E47" authorId="0" shapeId="0">
      <text>
        <t>Loan: Paccar, 3 T680. Principal = MIN(Opening, Payment - Interest)</t>
      </text>
    </comment>
    <comment ref="F47" authorId="0" shapeId="0">
      <text>
        <t>Loan: Paccar, 3 T680. Closing = Opening - Principal</t>
      </text>
    </comment>
    <comment ref="C48" authorId="0" shapeId="0">
      <text>
        <t>Links to: Prior month closing balance row 47</t>
      </text>
    </comment>
    <comment ref="D48" authorId="0" shapeId="0">
      <text>
        <t>Loan: Paccar, 3 T680. Interest = Opening * Annual Rate / 12</t>
      </text>
    </comment>
    <comment ref="E48" authorId="0" shapeId="0">
      <text>
        <t>Loan: Paccar, 3 T680. Principal = MIN(Opening, Payment - Interest)</t>
      </text>
    </comment>
    <comment ref="F48" authorId="0" shapeId="0">
      <text>
        <t>Loan: Paccar, 3 T680. Closing = Opening - Principal</t>
      </text>
    </comment>
    <comment ref="C49" authorId="0" shapeId="0">
      <text>
        <t>Links to: Prior month closing balance row 48</t>
      </text>
    </comment>
    <comment ref="D49" authorId="0" shapeId="0">
      <text>
        <t>Loan: Paccar, 3 T680. Interest = Opening * Annual Rate / 12</t>
      </text>
    </comment>
    <comment ref="E49" authorId="0" shapeId="0">
      <text>
        <t>Loan: Paccar, 3 T680. Principal = MIN(Opening, Payment - Interest)</t>
      </text>
    </comment>
    <comment ref="F49" authorId="0" shapeId="0">
      <text>
        <t>Loan: Paccar, 3 T680. Closing = Opening - Principal</t>
      </text>
    </comment>
    <comment ref="C50" authorId="0" shapeId="0">
      <text>
        <t>Links to: Prior month closing balance row 49</t>
      </text>
    </comment>
    <comment ref="D50" authorId="0" shapeId="0">
      <text>
        <t>Loan: Paccar, 3 T680. Interest = Opening * Annual Rate / 12</t>
      </text>
    </comment>
    <comment ref="E50" authorId="0" shapeId="0">
      <text>
        <t>Loan: Paccar, 3 T680. Principal = MIN(Opening, Payment - Interest)</t>
      </text>
    </comment>
    <comment ref="F50" authorId="0" shapeId="0">
      <text>
        <t>Loan: Paccar, 3 T680. Closing = Opening - Principal</t>
      </text>
    </comment>
    <comment ref="C51" authorId="0" shapeId="0">
      <text>
        <t>Links to: Prior month closing balance row 50</t>
      </text>
    </comment>
    <comment ref="D51" authorId="0" shapeId="0">
      <text>
        <t>Loan: Paccar, 3 T680. Interest = Opening * Annual Rate / 12</t>
      </text>
    </comment>
    <comment ref="E51" authorId="0" shapeId="0">
      <text>
        <t>Loan: Paccar, 3 T680. Principal = MIN(Opening, Payment - Interest)</t>
      </text>
    </comment>
    <comment ref="F51" authorId="0" shapeId="0">
      <text>
        <t>Loan: Paccar, 3 T680. Closing = Opening - Principal</t>
      </text>
    </comment>
    <comment ref="C52" authorId="0" shapeId="0">
      <text>
        <t>Links to: Prior month closing balance row 51</t>
      </text>
    </comment>
    <comment ref="D52" authorId="0" shapeId="0">
      <text>
        <t>Loan: Paccar, 3 T680. Interest = Opening * Annual Rate / 12</t>
      </text>
    </comment>
    <comment ref="E52" authorId="0" shapeId="0">
      <text>
        <t>Loan: Paccar, 3 T680. Principal = MIN(Opening, Payment - Interest)</t>
      </text>
    </comment>
    <comment ref="F52" authorId="0" shapeId="0">
      <text>
        <t>Loan: Paccar, 3 T680. Closing = Opening - Principal</t>
      </text>
    </comment>
    <comment ref="C53" authorId="0" shapeId="0">
      <text>
        <t>Links to: Prior month closing balance row 52</t>
      </text>
    </comment>
    <comment ref="D53" authorId="0" shapeId="0">
      <text>
        <t>Loan: Paccar, 3 T680. Interest = Opening * Annual Rate / 12</t>
      </text>
    </comment>
    <comment ref="E53" authorId="0" shapeId="0">
      <text>
        <t>Loan: Paccar, 3 T680. Principal = MIN(Opening, Payment - Interest)</t>
      </text>
    </comment>
    <comment ref="F53" authorId="0" shapeId="0">
      <text>
        <t>Loan: Paccar, 3 T680. Closing = Opening - Principal</t>
      </text>
    </comment>
    <comment ref="C54" authorId="0" shapeId="0">
      <text>
        <t>Links to: Prior month closing balance row 53</t>
      </text>
    </comment>
    <comment ref="D54" authorId="0" shapeId="0">
      <text>
        <t>Loan: Paccar, 3 T680. Interest = Opening * Annual Rate / 12</t>
      </text>
    </comment>
    <comment ref="E54" authorId="0" shapeId="0">
      <text>
        <t>Loan: Paccar, 3 T680. Principal = MIN(Opening, Payment - Interest)</t>
      </text>
    </comment>
    <comment ref="F54" authorId="0" shapeId="0">
      <text>
        <t>Loan: Paccar, 3 T680. Closing = Opening - Principal</t>
      </text>
    </comment>
    <comment ref="C55" authorId="0" shapeId="0">
      <text>
        <t>Links to: Prior month closing balance row 54</t>
      </text>
    </comment>
    <comment ref="D55" authorId="0" shapeId="0">
      <text>
        <t>Loan: Paccar, 3 T680. Interest = Opening * Annual Rate / 12</t>
      </text>
    </comment>
    <comment ref="E55" authorId="0" shapeId="0">
      <text>
        <t>Loan: Paccar, 3 T680. Principal = MIN(Opening, Payment - Interest)</t>
      </text>
    </comment>
    <comment ref="F55" authorId="0" shapeId="0">
      <text>
        <t>Loan: Paccar, 3 T680. Closing = Opening - Principal</t>
      </text>
    </comment>
    <comment ref="C56" authorId="0" shapeId="0">
      <text>
        <t>Links to: Prior month closing balance row 55</t>
      </text>
    </comment>
    <comment ref="D56" authorId="0" shapeId="0">
      <text>
        <t>Loan: Paccar, 3 T680. Interest = Opening * Annual Rate / 12</t>
      </text>
    </comment>
    <comment ref="E56" authorId="0" shapeId="0">
      <text>
        <t>Loan: Paccar, 3 T680. Principal = MIN(Opening, Payment - Interest)</t>
      </text>
    </comment>
    <comment ref="F56" authorId="0" shapeId="0">
      <text>
        <t>Loan: Paccar, 3 T680. Closing = Opening - Principal</t>
      </text>
    </comment>
    <comment ref="C61" authorId="0" shapeId="0">
      <text>
        <t>Sum of rows 23-34: Annual opening balance</t>
      </text>
    </comment>
    <comment ref="D61" authorId="0" shapeId="0">
      <text>
        <t>Sum of rows 23-34: Annual interest expense</t>
      </text>
    </comment>
    <comment ref="E61" authorId="0" shapeId="0">
      <text>
        <t>Sum of rows 23-34: Annual principal repayment</t>
      </text>
    </comment>
    <comment ref="F61" authorId="0" shapeId="0">
      <text>
        <t>Sum of rows 23-34: Year-end closing balance</t>
      </text>
    </comment>
    <comment ref="C62" authorId="0" shapeId="0">
      <text>
        <t>Sum of rows 35-46: Annual opening balance</t>
      </text>
    </comment>
    <comment ref="D62" authorId="0" shapeId="0">
      <text>
        <t>Sum of rows 35-46: Annual interest expense</t>
      </text>
    </comment>
    <comment ref="E62" authorId="0" shapeId="0">
      <text>
        <t>Sum of rows 35-46: Annual principal repayment</t>
      </text>
    </comment>
    <comment ref="F62" authorId="0" shapeId="0">
      <text>
        <t>Sum of rows 35-46: Year-end closing balance</t>
      </text>
    </comment>
    <comment ref="C63" authorId="0" shapeId="0">
      <text>
        <t>Sum of rows 47-56: Annual opening balance</t>
      </text>
    </comment>
    <comment ref="D63" authorId="0" shapeId="0">
      <text>
        <t>Sum of rows 47-56: Annual interest expense</t>
      </text>
    </comment>
    <comment ref="E63" authorId="0" shapeId="0">
      <text>
        <t>Sum of rows 47-56: Annual principal repayment</t>
      </text>
    </comment>
    <comment ref="F63" authorId="0" shapeId="0">
      <text>
        <t>Sum of rows 47-56: Year-end closing balance</t>
      </text>
    </comment>
    <comment ref="B66" authorId="0" shapeId="0">
      <text>
        <t>Links to: Year-end 2026 closing balance for Debt Schedule reference</t>
      </text>
    </comment>
  </commentList>
</comments>
</file>

<file path=xl/comments/comment28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loans.md, Paccar Loan 17
Extracted: 2026-05-14</t>
      </text>
    </comment>
    <comment ref="B6" authorId="0" shapeId="0">
      <text>
        <t>Loan: Paccar, 7 T680. Source: Meiborg_Debt_Schedule_202512.xlsx
Balance as of 12/31/2025</t>
      </text>
    </comment>
    <comment ref="B7" authorId="0" shapeId="0">
      <text>
        <t>Loan: Paccar, 7 T680. Source: Meiborg_Debt_Schedule_202512.xlsx</t>
      </text>
    </comment>
    <comment ref="B8" authorId="0" shapeId="0">
      <text>
        <t>Loan: Paccar, 7 T680. Source: Meiborg_Debt_Schedule_202512.xlsx</t>
      </text>
    </comment>
    <comment ref="C23" authorId="0" shapeId="0">
      <text>
        <t>Links to: Opening Balance input cell B6</t>
      </text>
    </comment>
    <comment ref="D23" authorId="0" shapeId="0">
      <text>
        <t>Loan: Paccar, 7 T680. Interest = Opening * Annual Rate / 12</t>
      </text>
    </comment>
    <comment ref="E23" authorId="0" shapeId="0">
      <text>
        <t>Loan: Paccar, 7 T680. Principal = MIN(Opening, Payment - Interest)</t>
      </text>
    </comment>
    <comment ref="F23" authorId="0" shapeId="0">
      <text>
        <t>Loan: Paccar, 7 T680. Closing = Opening - Principal</t>
      </text>
    </comment>
    <comment ref="C24" authorId="0" shapeId="0">
      <text>
        <t>Links to: Prior month closing balance row 23</t>
      </text>
    </comment>
    <comment ref="D24" authorId="0" shapeId="0">
      <text>
        <t>Loan: Paccar, 7 T680. Interest = Opening * Annual Rate / 12</t>
      </text>
    </comment>
    <comment ref="E24" authorId="0" shapeId="0">
      <text>
        <t>Loan: Paccar, 7 T680. Principal = MIN(Opening, Payment - Interest)</t>
      </text>
    </comment>
    <comment ref="F24" authorId="0" shapeId="0">
      <text>
        <t>Loan: Paccar, 7 T680. Closing = Opening - Principal</t>
      </text>
    </comment>
    <comment ref="C25" authorId="0" shapeId="0">
      <text>
        <t>Links to: Prior month closing balance row 24</t>
      </text>
    </comment>
    <comment ref="D25" authorId="0" shapeId="0">
      <text>
        <t>Loan: Paccar, 7 T680. Interest = Opening * Annual Rate / 12</t>
      </text>
    </comment>
    <comment ref="E25" authorId="0" shapeId="0">
      <text>
        <t>Loan: Paccar, 7 T680. Principal = MIN(Opening, Payment - Interest)</t>
      </text>
    </comment>
    <comment ref="F25" authorId="0" shapeId="0">
      <text>
        <t>Loan: Paccar, 7 T680. Closing = Opening - Principal</t>
      </text>
    </comment>
    <comment ref="C26" authorId="0" shapeId="0">
      <text>
        <t>Links to: Prior month closing balance row 25</t>
      </text>
    </comment>
    <comment ref="D26" authorId="0" shapeId="0">
      <text>
        <t>Loan: Paccar, 7 T680. Interest = Opening * Annual Rate / 12</t>
      </text>
    </comment>
    <comment ref="E26" authorId="0" shapeId="0">
      <text>
        <t>Loan: Paccar, 7 T680. Principal = MIN(Opening, Payment - Interest)</t>
      </text>
    </comment>
    <comment ref="F26" authorId="0" shapeId="0">
      <text>
        <t>Loan: Paccar, 7 T680. Closing = Opening - Principal</t>
      </text>
    </comment>
    <comment ref="C27" authorId="0" shapeId="0">
      <text>
        <t>Links to: Prior month closing balance row 26</t>
      </text>
    </comment>
    <comment ref="D27" authorId="0" shapeId="0">
      <text>
        <t>Loan: Paccar, 7 T680. Interest = Opening * Annual Rate / 12</t>
      </text>
    </comment>
    <comment ref="E27" authorId="0" shapeId="0">
      <text>
        <t>Loan: Paccar, 7 T680. Principal = MIN(Opening, Payment - Interest)</t>
      </text>
    </comment>
    <comment ref="F27" authorId="0" shapeId="0">
      <text>
        <t>Loan: Paccar, 7 T680. Closing = Opening - Principal</t>
      </text>
    </comment>
    <comment ref="C28" authorId="0" shapeId="0">
      <text>
        <t>Links to: Prior month closing balance row 27</t>
      </text>
    </comment>
    <comment ref="D28" authorId="0" shapeId="0">
      <text>
        <t>Loan: Paccar, 7 T680. Interest = Opening * Annual Rate / 12</t>
      </text>
    </comment>
    <comment ref="E28" authorId="0" shapeId="0">
      <text>
        <t>Loan: Paccar, 7 T680. Principal = MIN(Opening, Payment - Interest)</t>
      </text>
    </comment>
    <comment ref="F28" authorId="0" shapeId="0">
      <text>
        <t>Loan: Paccar, 7 T680. Closing = Opening - Principal</t>
      </text>
    </comment>
    <comment ref="C29" authorId="0" shapeId="0">
      <text>
        <t>Links to: Prior month closing balance row 28</t>
      </text>
    </comment>
    <comment ref="D29" authorId="0" shapeId="0">
      <text>
        <t>Loan: Paccar, 7 T680. Interest = Opening * Annual Rate / 12</t>
      </text>
    </comment>
    <comment ref="E29" authorId="0" shapeId="0">
      <text>
        <t>Loan: Paccar, 7 T680. Principal = MIN(Opening, Payment - Interest)</t>
      </text>
    </comment>
    <comment ref="F29" authorId="0" shapeId="0">
      <text>
        <t>Loan: Paccar, 7 T680. Closing = Opening - Principal</t>
      </text>
    </comment>
    <comment ref="C30" authorId="0" shapeId="0">
      <text>
        <t>Links to: Prior month closing balance row 29</t>
      </text>
    </comment>
    <comment ref="D30" authorId="0" shapeId="0">
      <text>
        <t>Loan: Paccar, 7 T680. Interest = Opening * Annual Rate / 12</t>
      </text>
    </comment>
    <comment ref="E30" authorId="0" shapeId="0">
      <text>
        <t>Loan: Paccar, 7 T680. Principal = MIN(Opening, Payment - Interest)</t>
      </text>
    </comment>
    <comment ref="F30" authorId="0" shapeId="0">
      <text>
        <t>Loan: Paccar, 7 T680. Closing = Opening - Principal</t>
      </text>
    </comment>
    <comment ref="C31" authorId="0" shapeId="0">
      <text>
        <t>Links to: Prior month closing balance row 30</t>
      </text>
    </comment>
    <comment ref="D31" authorId="0" shapeId="0">
      <text>
        <t>Loan: Paccar, 7 T680. Interest = Opening * Annual Rate / 12</t>
      </text>
    </comment>
    <comment ref="E31" authorId="0" shapeId="0">
      <text>
        <t>Loan: Paccar, 7 T680. Principal = MIN(Opening, Payment - Interest)</t>
      </text>
    </comment>
    <comment ref="F31" authorId="0" shapeId="0">
      <text>
        <t>Loan: Paccar, 7 T680. Closing = Opening - Principal</t>
      </text>
    </comment>
    <comment ref="C32" authorId="0" shapeId="0">
      <text>
        <t>Links to: Prior month closing balance row 31</t>
      </text>
    </comment>
    <comment ref="D32" authorId="0" shapeId="0">
      <text>
        <t>Loan: Paccar, 7 T680. Interest = Opening * Annual Rate / 12</t>
      </text>
    </comment>
    <comment ref="E32" authorId="0" shapeId="0">
      <text>
        <t>Loan: Paccar, 7 T680. Principal = MIN(Opening, Payment - Interest)</t>
      </text>
    </comment>
    <comment ref="F32" authorId="0" shapeId="0">
      <text>
        <t>Loan: Paccar, 7 T680. Closing = Opening - Principal</t>
      </text>
    </comment>
    <comment ref="C33" authorId="0" shapeId="0">
      <text>
        <t>Links to: Prior month closing balance row 32</t>
      </text>
    </comment>
    <comment ref="D33" authorId="0" shapeId="0">
      <text>
        <t>Loan: Paccar, 7 T680. Interest = Opening * Annual Rate / 12</t>
      </text>
    </comment>
    <comment ref="E33" authorId="0" shapeId="0">
      <text>
        <t>Loan: Paccar, 7 T680. Principal = MIN(Opening, Payment - Interest)</t>
      </text>
    </comment>
    <comment ref="F33" authorId="0" shapeId="0">
      <text>
        <t>Loan: Paccar, 7 T680. Closing = Opening - Principal</t>
      </text>
    </comment>
    <comment ref="C34" authorId="0" shapeId="0">
      <text>
        <t>Links to: Prior month closing balance row 33</t>
      </text>
    </comment>
    <comment ref="D34" authorId="0" shapeId="0">
      <text>
        <t>Loan: Paccar, 7 T680. Interest = Opening * Annual Rate / 12</t>
      </text>
    </comment>
    <comment ref="E34" authorId="0" shapeId="0">
      <text>
        <t>Loan: Paccar, 7 T680. Principal = MIN(Opening, Payment - Interest)</t>
      </text>
    </comment>
    <comment ref="F34" authorId="0" shapeId="0">
      <text>
        <t>Loan: Paccar, 7 T680. Closing = Opening - Principal</t>
      </text>
    </comment>
    <comment ref="C35" authorId="0" shapeId="0">
      <text>
        <t>Links to: Prior month closing balance row 34</t>
      </text>
    </comment>
    <comment ref="D35" authorId="0" shapeId="0">
      <text>
        <t>Loan: Paccar, 7 T680. Interest = Opening * Annual Rate / 12</t>
      </text>
    </comment>
    <comment ref="E35" authorId="0" shapeId="0">
      <text>
        <t>Loan: Paccar, 7 T680. Principal = MIN(Opening, Payment - Interest)</t>
      </text>
    </comment>
    <comment ref="F35" authorId="0" shapeId="0">
      <text>
        <t>Loan: Paccar, 7 T680. Closing = Opening - Principal</t>
      </text>
    </comment>
    <comment ref="C36" authorId="0" shapeId="0">
      <text>
        <t>Links to: Prior month closing balance row 35</t>
      </text>
    </comment>
    <comment ref="D36" authorId="0" shapeId="0">
      <text>
        <t>Loan: Paccar, 7 T680. Interest = Opening * Annual Rate / 12</t>
      </text>
    </comment>
    <comment ref="E36" authorId="0" shapeId="0">
      <text>
        <t>Loan: Paccar, 7 T680. Principal = MIN(Opening, Payment - Interest)</t>
      </text>
    </comment>
    <comment ref="F36" authorId="0" shapeId="0">
      <text>
        <t>Loan: Paccar, 7 T680. Closing = Opening - Principal</t>
      </text>
    </comment>
    <comment ref="C37" authorId="0" shapeId="0">
      <text>
        <t>Links to: Prior month closing balance row 36</t>
      </text>
    </comment>
    <comment ref="D37" authorId="0" shapeId="0">
      <text>
        <t>Loan: Paccar, 7 T680. Interest = Opening * Annual Rate / 12</t>
      </text>
    </comment>
    <comment ref="E37" authorId="0" shapeId="0">
      <text>
        <t>Loan: Paccar, 7 T680. Principal = MIN(Opening, Payment - Interest)</t>
      </text>
    </comment>
    <comment ref="F37" authorId="0" shapeId="0">
      <text>
        <t>Loan: Paccar, 7 T680. Closing = Opening - Principal</t>
      </text>
    </comment>
    <comment ref="C38" authorId="0" shapeId="0">
      <text>
        <t>Links to: Prior month closing balance row 37</t>
      </text>
    </comment>
    <comment ref="D38" authorId="0" shapeId="0">
      <text>
        <t>Loan: Paccar, 7 T680. Interest = Opening * Annual Rate / 12</t>
      </text>
    </comment>
    <comment ref="E38" authorId="0" shapeId="0">
      <text>
        <t>Loan: Paccar, 7 T680. Principal = MIN(Opening, Payment - Interest)</t>
      </text>
    </comment>
    <comment ref="F38" authorId="0" shapeId="0">
      <text>
        <t>Loan: Paccar, 7 T680. Closing = Opening - Principal</t>
      </text>
    </comment>
    <comment ref="C39" authorId="0" shapeId="0">
      <text>
        <t>Links to: Prior month closing balance row 38</t>
      </text>
    </comment>
    <comment ref="D39" authorId="0" shapeId="0">
      <text>
        <t>Loan: Paccar, 7 T680. Interest = Opening * Annual Rate / 12</t>
      </text>
    </comment>
    <comment ref="E39" authorId="0" shapeId="0">
      <text>
        <t>Loan: Paccar, 7 T680. Principal = MIN(Opening, Payment - Interest)</t>
      </text>
    </comment>
    <comment ref="F39" authorId="0" shapeId="0">
      <text>
        <t>Loan: Paccar, 7 T680. Closing = Opening - Principal</t>
      </text>
    </comment>
    <comment ref="C40" authorId="0" shapeId="0">
      <text>
        <t>Links to: Prior month closing balance row 39</t>
      </text>
    </comment>
    <comment ref="D40" authorId="0" shapeId="0">
      <text>
        <t>Loan: Paccar, 7 T680. Interest = Opening * Annual Rate / 12</t>
      </text>
    </comment>
    <comment ref="E40" authorId="0" shapeId="0">
      <text>
        <t>Loan: Paccar, 7 T680. Principal = MIN(Opening, Payment - Interest)</t>
      </text>
    </comment>
    <comment ref="F40" authorId="0" shapeId="0">
      <text>
        <t>Loan: Paccar, 7 T680. Closing = Opening - Principal</t>
      </text>
    </comment>
    <comment ref="C41" authorId="0" shapeId="0">
      <text>
        <t>Links to: Prior month closing balance row 40</t>
      </text>
    </comment>
    <comment ref="D41" authorId="0" shapeId="0">
      <text>
        <t>Loan: Paccar, 7 T680. Interest = Opening * Annual Rate / 12</t>
      </text>
    </comment>
    <comment ref="E41" authorId="0" shapeId="0">
      <text>
        <t>Loan: Paccar, 7 T680. Principal = MIN(Opening, Payment - Interest)</t>
      </text>
    </comment>
    <comment ref="F41" authorId="0" shapeId="0">
      <text>
        <t>Loan: Paccar, 7 T680. Closing = Opening - Principal</t>
      </text>
    </comment>
    <comment ref="C42" authorId="0" shapeId="0">
      <text>
        <t>Links to: Prior month closing balance row 41</t>
      </text>
    </comment>
    <comment ref="D42" authorId="0" shapeId="0">
      <text>
        <t>Loan: Paccar, 7 T680. Interest = Opening * Annual Rate / 12</t>
      </text>
    </comment>
    <comment ref="E42" authorId="0" shapeId="0">
      <text>
        <t>Loan: Paccar, 7 T680. Principal = MIN(Opening, Payment - Interest)</t>
      </text>
    </comment>
    <comment ref="F42" authorId="0" shapeId="0">
      <text>
        <t>Loan: Paccar, 7 T680. Closing = Opening - Principal</t>
      </text>
    </comment>
    <comment ref="C43" authorId="0" shapeId="0">
      <text>
        <t>Links to: Prior month closing balance row 42</t>
      </text>
    </comment>
    <comment ref="D43" authorId="0" shapeId="0">
      <text>
        <t>Loan: Paccar, 7 T680. Interest = Opening * Annual Rate / 12</t>
      </text>
    </comment>
    <comment ref="E43" authorId="0" shapeId="0">
      <text>
        <t>Loan: Paccar, 7 T680. Principal = MIN(Opening, Payment - Interest)</t>
      </text>
    </comment>
    <comment ref="F43" authorId="0" shapeId="0">
      <text>
        <t>Loan: Paccar, 7 T680. Closing = Opening - Principal</t>
      </text>
    </comment>
    <comment ref="C44" authorId="0" shapeId="0">
      <text>
        <t>Links to: Prior month closing balance row 43</t>
      </text>
    </comment>
    <comment ref="D44" authorId="0" shapeId="0">
      <text>
        <t>Loan: Paccar, 7 T680. Interest = Opening * Annual Rate / 12</t>
      </text>
    </comment>
    <comment ref="E44" authorId="0" shapeId="0">
      <text>
        <t>Loan: Paccar, 7 T680. Principal = MIN(Opening, Payment - Interest)</t>
      </text>
    </comment>
    <comment ref="F44" authorId="0" shapeId="0">
      <text>
        <t>Loan: Paccar, 7 T680. Closing = Opening - Principal</t>
      </text>
    </comment>
    <comment ref="C45" authorId="0" shapeId="0">
      <text>
        <t>Links to: Prior month closing balance row 44</t>
      </text>
    </comment>
    <comment ref="D45" authorId="0" shapeId="0">
      <text>
        <t>Loan: Paccar, 7 T680. Interest = Opening * Annual Rate / 12</t>
      </text>
    </comment>
    <comment ref="E45" authorId="0" shapeId="0">
      <text>
        <t>Loan: Paccar, 7 T680. Principal = MIN(Opening, Payment - Interest)</t>
      </text>
    </comment>
    <comment ref="F45" authorId="0" shapeId="0">
      <text>
        <t>Loan: Paccar, 7 T680. Closing = Opening - Principal</t>
      </text>
    </comment>
    <comment ref="C46" authorId="0" shapeId="0">
      <text>
        <t>Links to: Prior month closing balance row 45</t>
      </text>
    </comment>
    <comment ref="D46" authorId="0" shapeId="0">
      <text>
        <t>Loan: Paccar, 7 T680. Interest = Opening * Annual Rate / 12</t>
      </text>
    </comment>
    <comment ref="E46" authorId="0" shapeId="0">
      <text>
        <t>Loan: Paccar, 7 T680. Principal = MIN(Opening, Payment - Interest)</t>
      </text>
    </comment>
    <comment ref="F46" authorId="0" shapeId="0">
      <text>
        <t>Loan: Paccar, 7 T680. Closing = Opening - Principal</t>
      </text>
    </comment>
    <comment ref="C47" authorId="0" shapeId="0">
      <text>
        <t>Links to: Prior month closing balance row 46</t>
      </text>
    </comment>
    <comment ref="D47" authorId="0" shapeId="0">
      <text>
        <t>Loan: Paccar, 7 T680. Interest = Opening * Annual Rate / 12</t>
      </text>
    </comment>
    <comment ref="E47" authorId="0" shapeId="0">
      <text>
        <t>Loan: Paccar, 7 T680. Principal = MIN(Opening, Payment - Interest)</t>
      </text>
    </comment>
    <comment ref="F47" authorId="0" shapeId="0">
      <text>
        <t>Loan: Paccar, 7 T680. Closing = Opening - Principal</t>
      </text>
    </comment>
    <comment ref="C48" authorId="0" shapeId="0">
      <text>
        <t>Links to: Prior month closing balance row 47</t>
      </text>
    </comment>
    <comment ref="D48" authorId="0" shapeId="0">
      <text>
        <t>Loan: Paccar, 7 T680. Interest = Opening * Annual Rate / 12</t>
      </text>
    </comment>
    <comment ref="E48" authorId="0" shapeId="0">
      <text>
        <t>Loan: Paccar, 7 T680. Principal = MIN(Opening, Payment - Interest)</t>
      </text>
    </comment>
    <comment ref="F48" authorId="0" shapeId="0">
      <text>
        <t>Loan: Paccar, 7 T680. Closing = Opening - Principal</t>
      </text>
    </comment>
    <comment ref="C49" authorId="0" shapeId="0">
      <text>
        <t>Links to: Prior month closing balance row 48</t>
      </text>
    </comment>
    <comment ref="D49" authorId="0" shapeId="0">
      <text>
        <t>Loan: Paccar, 7 T680. Interest = Opening * Annual Rate / 12</t>
      </text>
    </comment>
    <comment ref="E49" authorId="0" shapeId="0">
      <text>
        <t>Loan: Paccar, 7 T680. Principal = MIN(Opening, Payment - Interest)</t>
      </text>
    </comment>
    <comment ref="F49" authorId="0" shapeId="0">
      <text>
        <t>Loan: Paccar, 7 T680. Closing = Opening - Principal</t>
      </text>
    </comment>
    <comment ref="C50" authorId="0" shapeId="0">
      <text>
        <t>Links to: Prior month closing balance row 49</t>
      </text>
    </comment>
    <comment ref="D50" authorId="0" shapeId="0">
      <text>
        <t>Loan: Paccar, 7 T680. Interest = Opening * Annual Rate / 12</t>
      </text>
    </comment>
    <comment ref="E50" authorId="0" shapeId="0">
      <text>
        <t>Loan: Paccar, 7 T680. Principal = MIN(Opening, Payment - Interest)</t>
      </text>
    </comment>
    <comment ref="F50" authorId="0" shapeId="0">
      <text>
        <t>Loan: Paccar, 7 T680. Closing = Opening - Principal</t>
      </text>
    </comment>
    <comment ref="C51" authorId="0" shapeId="0">
      <text>
        <t>Links to: Prior month closing balance row 50</t>
      </text>
    </comment>
    <comment ref="D51" authorId="0" shapeId="0">
      <text>
        <t>Loan: Paccar, 7 T680. Interest = Opening * Annual Rate / 12</t>
      </text>
    </comment>
    <comment ref="E51" authorId="0" shapeId="0">
      <text>
        <t>Loan: Paccar, 7 T680. Principal = MIN(Opening, Payment - Interest)</t>
      </text>
    </comment>
    <comment ref="F51" authorId="0" shapeId="0">
      <text>
        <t>Loan: Paccar, 7 T680. Closing = Opening - Principal</t>
      </text>
    </comment>
    <comment ref="C52" authorId="0" shapeId="0">
      <text>
        <t>Links to: Prior month closing balance row 51</t>
      </text>
    </comment>
    <comment ref="D52" authorId="0" shapeId="0">
      <text>
        <t>Loan: Paccar, 7 T680. Interest = Opening * Annual Rate / 12</t>
      </text>
    </comment>
    <comment ref="E52" authorId="0" shapeId="0">
      <text>
        <t>Loan: Paccar, 7 T680. Principal = MIN(Opening, Payment - Interest)</t>
      </text>
    </comment>
    <comment ref="F52" authorId="0" shapeId="0">
      <text>
        <t>Loan: Paccar, 7 T680. Closing = Opening - Principal</t>
      </text>
    </comment>
    <comment ref="C53" authorId="0" shapeId="0">
      <text>
        <t>Links to: Prior month closing balance row 52</t>
      </text>
    </comment>
    <comment ref="D53" authorId="0" shapeId="0">
      <text>
        <t>Loan: Paccar, 7 T680. Interest = Opening * Annual Rate / 12</t>
      </text>
    </comment>
    <comment ref="E53" authorId="0" shapeId="0">
      <text>
        <t>Loan: Paccar, 7 T680. Principal = MIN(Opening, Payment - Interest)</t>
      </text>
    </comment>
    <comment ref="F53" authorId="0" shapeId="0">
      <text>
        <t>Loan: Paccar, 7 T680. Closing = Opening - Principal</t>
      </text>
    </comment>
    <comment ref="C54" authorId="0" shapeId="0">
      <text>
        <t>Links to: Prior month closing balance row 53</t>
      </text>
    </comment>
    <comment ref="D54" authorId="0" shapeId="0">
      <text>
        <t>Loan: Paccar, 7 T680. Interest = Opening * Annual Rate / 12</t>
      </text>
    </comment>
    <comment ref="E54" authorId="0" shapeId="0">
      <text>
        <t>Loan: Paccar, 7 T680. Principal = MIN(Opening, Payment - Interest)</t>
      </text>
    </comment>
    <comment ref="F54" authorId="0" shapeId="0">
      <text>
        <t>Loan: Paccar, 7 T680. Closing = Opening - Principal</t>
      </text>
    </comment>
    <comment ref="C59" authorId="0" shapeId="0">
      <text>
        <t>Sum of rows 23-34: Annual opening balance</t>
      </text>
    </comment>
    <comment ref="D59" authorId="0" shapeId="0">
      <text>
        <t>Sum of rows 23-34: Annual interest expense</t>
      </text>
    </comment>
    <comment ref="E59" authorId="0" shapeId="0">
      <text>
        <t>Sum of rows 23-34: Annual principal repayment</t>
      </text>
    </comment>
    <comment ref="F59" authorId="0" shapeId="0">
      <text>
        <t>Sum of rows 23-34: Year-end closing balance</t>
      </text>
    </comment>
    <comment ref="C60" authorId="0" shapeId="0">
      <text>
        <t>Sum of rows 35-46: Annual opening balance</t>
      </text>
    </comment>
    <comment ref="D60" authorId="0" shapeId="0">
      <text>
        <t>Sum of rows 35-46: Annual interest expense</t>
      </text>
    </comment>
    <comment ref="E60" authorId="0" shapeId="0">
      <text>
        <t>Sum of rows 35-46: Annual principal repayment</t>
      </text>
    </comment>
    <comment ref="F60" authorId="0" shapeId="0">
      <text>
        <t>Sum of rows 35-46: Year-end closing balance</t>
      </text>
    </comment>
    <comment ref="C61" authorId="0" shapeId="0">
      <text>
        <t>Sum of rows 47-54: Annual opening balance</t>
      </text>
    </comment>
    <comment ref="D61" authorId="0" shapeId="0">
      <text>
        <t>Sum of rows 47-54: Annual interest expense</t>
      </text>
    </comment>
    <comment ref="E61" authorId="0" shapeId="0">
      <text>
        <t>Sum of rows 47-54: Annual principal repayment</t>
      </text>
    </comment>
    <comment ref="F61" authorId="0" shapeId="0">
      <text>
        <t>Sum of rows 47-54: Year-end closing balance</t>
      </text>
    </comment>
    <comment ref="B64" authorId="0" shapeId="0">
      <text>
        <t>Links to: Year-end 2026 closing balance for Debt Schedule reference</t>
      </text>
    </comment>
  </commentList>
</comments>
</file>

<file path=xl/comments/comment29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loans.md, Paccar Loan 18
Extracted: 2026-05-14</t>
      </text>
    </comment>
    <comment ref="B6" authorId="0" shapeId="0">
      <text>
        <t>Loan: Paccar, 2 T680. Source: Meiborg_Debt_Schedule_202512.xlsx
Balance as of 12/31/2025</t>
      </text>
    </comment>
    <comment ref="B7" authorId="0" shapeId="0">
      <text>
        <t>Loan: Paccar, 2 T680. Source: Meiborg_Debt_Schedule_202512.xlsx</t>
      </text>
    </comment>
    <comment ref="B8" authorId="0" shapeId="0">
      <text>
        <t>Loan: Paccar, 2 T680. Source: Meiborg_Debt_Schedule_202512.xlsx</t>
      </text>
    </comment>
    <comment ref="C23" authorId="0" shapeId="0">
      <text>
        <t>Links to: Opening Balance input cell B6</t>
      </text>
    </comment>
    <comment ref="D23" authorId="0" shapeId="0">
      <text>
        <t>Loan: Paccar, 2 T680. Interest = Opening * Annual Rate / 12</t>
      </text>
    </comment>
    <comment ref="E23" authorId="0" shapeId="0">
      <text>
        <t>Loan: Paccar, 2 T680. Principal = MIN(Opening, Payment - Interest)</t>
      </text>
    </comment>
    <comment ref="F23" authorId="0" shapeId="0">
      <text>
        <t>Loan: Paccar, 2 T680. Closing = Opening - Principal</t>
      </text>
    </comment>
    <comment ref="C24" authorId="0" shapeId="0">
      <text>
        <t>Links to: Prior month closing balance row 23</t>
      </text>
    </comment>
    <comment ref="D24" authorId="0" shapeId="0">
      <text>
        <t>Loan: Paccar, 2 T680. Interest = Opening * Annual Rate / 12</t>
      </text>
    </comment>
    <comment ref="E24" authorId="0" shapeId="0">
      <text>
        <t>Loan: Paccar, 2 T680. Principal = MIN(Opening, Payment - Interest)</t>
      </text>
    </comment>
    <comment ref="F24" authorId="0" shapeId="0">
      <text>
        <t>Loan: Paccar, 2 T680. Closing = Opening - Principal</t>
      </text>
    </comment>
    <comment ref="C25" authorId="0" shapeId="0">
      <text>
        <t>Links to: Prior month closing balance row 24</t>
      </text>
    </comment>
    <comment ref="D25" authorId="0" shapeId="0">
      <text>
        <t>Loan: Paccar, 2 T680. Interest = Opening * Annual Rate / 12</t>
      </text>
    </comment>
    <comment ref="E25" authorId="0" shapeId="0">
      <text>
        <t>Loan: Paccar, 2 T680. Principal = MIN(Opening, Payment - Interest)</t>
      </text>
    </comment>
    <comment ref="F25" authorId="0" shapeId="0">
      <text>
        <t>Loan: Paccar, 2 T680. Closing = Opening - Principal</t>
      </text>
    </comment>
    <comment ref="C26" authorId="0" shapeId="0">
      <text>
        <t>Links to: Prior month closing balance row 25</t>
      </text>
    </comment>
    <comment ref="D26" authorId="0" shapeId="0">
      <text>
        <t>Loan: Paccar, 2 T680. Interest = Opening * Annual Rate / 12</t>
      </text>
    </comment>
    <comment ref="E26" authorId="0" shapeId="0">
      <text>
        <t>Loan: Paccar, 2 T680. Principal = MIN(Opening, Payment - Interest)</t>
      </text>
    </comment>
    <comment ref="F26" authorId="0" shapeId="0">
      <text>
        <t>Loan: Paccar, 2 T680. Closing = Opening - Principal</t>
      </text>
    </comment>
    <comment ref="C27" authorId="0" shapeId="0">
      <text>
        <t>Links to: Prior month closing balance row 26</t>
      </text>
    </comment>
    <comment ref="D27" authorId="0" shapeId="0">
      <text>
        <t>Loan: Paccar, 2 T680. Interest = Opening * Annual Rate / 12</t>
      </text>
    </comment>
    <comment ref="E27" authorId="0" shapeId="0">
      <text>
        <t>Loan: Paccar, 2 T680. Principal = MIN(Opening, Payment - Interest)</t>
      </text>
    </comment>
    <comment ref="F27" authorId="0" shapeId="0">
      <text>
        <t>Loan: Paccar, 2 T680. Closing = Opening - Principal</t>
      </text>
    </comment>
    <comment ref="C28" authorId="0" shapeId="0">
      <text>
        <t>Links to: Prior month closing balance row 27</t>
      </text>
    </comment>
    <comment ref="D28" authorId="0" shapeId="0">
      <text>
        <t>Loan: Paccar, 2 T680. Interest = Opening * Annual Rate / 12</t>
      </text>
    </comment>
    <comment ref="E28" authorId="0" shapeId="0">
      <text>
        <t>Loan: Paccar, 2 T680. Principal = MIN(Opening, Payment - Interest)</t>
      </text>
    </comment>
    <comment ref="F28" authorId="0" shapeId="0">
      <text>
        <t>Loan: Paccar, 2 T680. Closing = Opening - Principal</t>
      </text>
    </comment>
    <comment ref="C29" authorId="0" shapeId="0">
      <text>
        <t>Links to: Prior month closing balance row 28</t>
      </text>
    </comment>
    <comment ref="D29" authorId="0" shapeId="0">
      <text>
        <t>Loan: Paccar, 2 T680. Interest = Opening * Annual Rate / 12</t>
      </text>
    </comment>
    <comment ref="E29" authorId="0" shapeId="0">
      <text>
        <t>Loan: Paccar, 2 T680. Principal = MIN(Opening, Payment - Interest)</t>
      </text>
    </comment>
    <comment ref="F29" authorId="0" shapeId="0">
      <text>
        <t>Loan: Paccar, 2 T680. Closing = Opening - Principal</t>
      </text>
    </comment>
    <comment ref="C30" authorId="0" shapeId="0">
      <text>
        <t>Links to: Prior month closing balance row 29</t>
      </text>
    </comment>
    <comment ref="D30" authorId="0" shapeId="0">
      <text>
        <t>Loan: Paccar, 2 T680. Interest = Opening * Annual Rate / 12</t>
      </text>
    </comment>
    <comment ref="E30" authorId="0" shapeId="0">
      <text>
        <t>Loan: Paccar, 2 T680. Principal = MIN(Opening, Payment - Interest)</t>
      </text>
    </comment>
    <comment ref="F30" authorId="0" shapeId="0">
      <text>
        <t>Loan: Paccar, 2 T680. Closing = Opening - Principal</t>
      </text>
    </comment>
    <comment ref="C31" authorId="0" shapeId="0">
      <text>
        <t>Links to: Prior month closing balance row 30</t>
      </text>
    </comment>
    <comment ref="D31" authorId="0" shapeId="0">
      <text>
        <t>Loan: Paccar, 2 T680. Interest = Opening * Annual Rate / 12</t>
      </text>
    </comment>
    <comment ref="E31" authorId="0" shapeId="0">
      <text>
        <t>Loan: Paccar, 2 T680. Principal = MIN(Opening, Payment - Interest)</t>
      </text>
    </comment>
    <comment ref="F31" authorId="0" shapeId="0">
      <text>
        <t>Loan: Paccar, 2 T680. Closing = Opening - Principal</t>
      </text>
    </comment>
    <comment ref="C32" authorId="0" shapeId="0">
      <text>
        <t>Links to: Prior month closing balance row 31</t>
      </text>
    </comment>
    <comment ref="D32" authorId="0" shapeId="0">
      <text>
        <t>Loan: Paccar, 2 T680. Interest = Opening * Annual Rate / 12</t>
      </text>
    </comment>
    <comment ref="E32" authorId="0" shapeId="0">
      <text>
        <t>Loan: Paccar, 2 T680. Principal = MIN(Opening, Payment - Interest)</t>
      </text>
    </comment>
    <comment ref="F32" authorId="0" shapeId="0">
      <text>
        <t>Loan: Paccar, 2 T680. Closing = Opening - Principal</t>
      </text>
    </comment>
    <comment ref="C33" authorId="0" shapeId="0">
      <text>
        <t>Links to: Prior month closing balance row 32</t>
      </text>
    </comment>
    <comment ref="D33" authorId="0" shapeId="0">
      <text>
        <t>Loan: Paccar, 2 T680. Interest = Opening * Annual Rate / 12</t>
      </text>
    </comment>
    <comment ref="E33" authorId="0" shapeId="0">
      <text>
        <t>Loan: Paccar, 2 T680. Principal = MIN(Opening, Payment - Interest)</t>
      </text>
    </comment>
    <comment ref="F33" authorId="0" shapeId="0">
      <text>
        <t>Loan: Paccar, 2 T680. Closing = Opening - Principal</t>
      </text>
    </comment>
    <comment ref="C34" authorId="0" shapeId="0">
      <text>
        <t>Links to: Prior month closing balance row 33</t>
      </text>
    </comment>
    <comment ref="D34" authorId="0" shapeId="0">
      <text>
        <t>Loan: Paccar, 2 T680. Interest = Opening * Annual Rate / 12</t>
      </text>
    </comment>
    <comment ref="E34" authorId="0" shapeId="0">
      <text>
        <t>Loan: Paccar, 2 T680. Principal = MIN(Opening, Payment - Interest)</t>
      </text>
    </comment>
    <comment ref="F34" authorId="0" shapeId="0">
      <text>
        <t>Loan: Paccar, 2 T680. Closing = Opening - Principal</t>
      </text>
    </comment>
    <comment ref="C35" authorId="0" shapeId="0">
      <text>
        <t>Links to: Prior month closing balance row 34</t>
      </text>
    </comment>
    <comment ref="D35" authorId="0" shapeId="0">
      <text>
        <t>Loan: Paccar, 2 T680. Interest = Opening * Annual Rate / 12</t>
      </text>
    </comment>
    <comment ref="E35" authorId="0" shapeId="0">
      <text>
        <t>Loan: Paccar, 2 T680. Principal = MIN(Opening, Payment - Interest)</t>
      </text>
    </comment>
    <comment ref="F35" authorId="0" shapeId="0">
      <text>
        <t>Loan: Paccar, 2 T680. Closing = Opening - Principal</t>
      </text>
    </comment>
    <comment ref="C36" authorId="0" shapeId="0">
      <text>
        <t>Links to: Prior month closing balance row 35</t>
      </text>
    </comment>
    <comment ref="D36" authorId="0" shapeId="0">
      <text>
        <t>Loan: Paccar, 2 T680. Interest = Opening * Annual Rate / 12</t>
      </text>
    </comment>
    <comment ref="E36" authorId="0" shapeId="0">
      <text>
        <t>Loan: Paccar, 2 T680. Principal = MIN(Opening, Payment - Interest)</t>
      </text>
    </comment>
    <comment ref="F36" authorId="0" shapeId="0">
      <text>
        <t>Loan: Paccar, 2 T680. Closing = Opening - Principal</t>
      </text>
    </comment>
    <comment ref="C37" authorId="0" shapeId="0">
      <text>
        <t>Links to: Prior month closing balance row 36</t>
      </text>
    </comment>
    <comment ref="D37" authorId="0" shapeId="0">
      <text>
        <t>Loan: Paccar, 2 T680. Interest = Opening * Annual Rate / 12</t>
      </text>
    </comment>
    <comment ref="E37" authorId="0" shapeId="0">
      <text>
        <t>Loan: Paccar, 2 T680. Principal = MIN(Opening, Payment - Interest)</t>
      </text>
    </comment>
    <comment ref="F37" authorId="0" shapeId="0">
      <text>
        <t>Loan: Paccar, 2 T680. Closing = Opening - Principal</t>
      </text>
    </comment>
    <comment ref="C38" authorId="0" shapeId="0">
      <text>
        <t>Links to: Prior month closing balance row 37</t>
      </text>
    </comment>
    <comment ref="D38" authorId="0" shapeId="0">
      <text>
        <t>Loan: Paccar, 2 T680. Interest = Opening * Annual Rate / 12</t>
      </text>
    </comment>
    <comment ref="E38" authorId="0" shapeId="0">
      <text>
        <t>Loan: Paccar, 2 T680. Principal = MIN(Opening, Payment - Interest)</t>
      </text>
    </comment>
    <comment ref="F38" authorId="0" shapeId="0">
      <text>
        <t>Loan: Paccar, 2 T680. Closing = Opening - Principal</t>
      </text>
    </comment>
    <comment ref="C39" authorId="0" shapeId="0">
      <text>
        <t>Links to: Prior month closing balance row 38</t>
      </text>
    </comment>
    <comment ref="D39" authorId="0" shapeId="0">
      <text>
        <t>Loan: Paccar, 2 T680. Interest = Opening * Annual Rate / 12</t>
      </text>
    </comment>
    <comment ref="E39" authorId="0" shapeId="0">
      <text>
        <t>Loan: Paccar, 2 T680. Principal = MIN(Opening, Payment - Interest)</t>
      </text>
    </comment>
    <comment ref="F39" authorId="0" shapeId="0">
      <text>
        <t>Loan: Paccar, 2 T680. Closing = Opening - Principal</t>
      </text>
    </comment>
    <comment ref="C40" authorId="0" shapeId="0">
      <text>
        <t>Links to: Prior month closing balance row 39</t>
      </text>
    </comment>
    <comment ref="D40" authorId="0" shapeId="0">
      <text>
        <t>Loan: Paccar, 2 T680. Interest = Opening * Annual Rate / 12</t>
      </text>
    </comment>
    <comment ref="E40" authorId="0" shapeId="0">
      <text>
        <t>Loan: Paccar, 2 T680. Principal = MIN(Opening, Payment - Interest)</t>
      </text>
    </comment>
    <comment ref="F40" authorId="0" shapeId="0">
      <text>
        <t>Loan: Paccar, 2 T680. Closing = Opening - Principal</t>
      </text>
    </comment>
    <comment ref="C41" authorId="0" shapeId="0">
      <text>
        <t>Links to: Prior month closing balance row 40</t>
      </text>
    </comment>
    <comment ref="D41" authorId="0" shapeId="0">
      <text>
        <t>Loan: Paccar, 2 T680. Interest = Opening * Annual Rate / 12</t>
      </text>
    </comment>
    <comment ref="E41" authorId="0" shapeId="0">
      <text>
        <t>Loan: Paccar, 2 T680. Principal = MIN(Opening, Payment - Interest)</t>
      </text>
    </comment>
    <comment ref="F41" authorId="0" shapeId="0">
      <text>
        <t>Loan: Paccar, 2 T680. Closing = Opening - Principal</t>
      </text>
    </comment>
    <comment ref="C42" authorId="0" shapeId="0">
      <text>
        <t>Links to: Prior month closing balance row 41</t>
      </text>
    </comment>
    <comment ref="D42" authorId="0" shapeId="0">
      <text>
        <t>Loan: Paccar, 2 T680. Interest = Opening * Annual Rate / 12</t>
      </text>
    </comment>
    <comment ref="E42" authorId="0" shapeId="0">
      <text>
        <t>Loan: Paccar, 2 T680. Principal = MIN(Opening, Payment - Interest)</t>
      </text>
    </comment>
    <comment ref="F42" authorId="0" shapeId="0">
      <text>
        <t>Loan: Paccar, 2 T680. Closing = Opening - Principal</t>
      </text>
    </comment>
    <comment ref="C43" authorId="0" shapeId="0">
      <text>
        <t>Links to: Prior month closing balance row 42</t>
      </text>
    </comment>
    <comment ref="D43" authorId="0" shapeId="0">
      <text>
        <t>Loan: Paccar, 2 T680. Interest = Opening * Annual Rate / 12</t>
      </text>
    </comment>
    <comment ref="E43" authorId="0" shapeId="0">
      <text>
        <t>Loan: Paccar, 2 T680. Principal = MIN(Opening, Payment - Interest)</t>
      </text>
    </comment>
    <comment ref="F43" authorId="0" shapeId="0">
      <text>
        <t>Loan: Paccar, 2 T680. Closing = Opening - Principal</t>
      </text>
    </comment>
    <comment ref="C44" authorId="0" shapeId="0">
      <text>
        <t>Links to: Prior month closing balance row 43</t>
      </text>
    </comment>
    <comment ref="D44" authorId="0" shapeId="0">
      <text>
        <t>Loan: Paccar, 2 T680. Interest = Opening * Annual Rate / 12</t>
      </text>
    </comment>
    <comment ref="E44" authorId="0" shapeId="0">
      <text>
        <t>Loan: Paccar, 2 T680. Principal = MIN(Opening, Payment - Interest)</t>
      </text>
    </comment>
    <comment ref="F44" authorId="0" shapeId="0">
      <text>
        <t>Loan: Paccar, 2 T680. Closing = Opening - Principal</t>
      </text>
    </comment>
    <comment ref="C45" authorId="0" shapeId="0">
      <text>
        <t>Links to: Prior month closing balance row 44</t>
      </text>
    </comment>
    <comment ref="D45" authorId="0" shapeId="0">
      <text>
        <t>Loan: Paccar, 2 T680. Interest = Opening * Annual Rate / 12</t>
      </text>
    </comment>
    <comment ref="E45" authorId="0" shapeId="0">
      <text>
        <t>Loan: Paccar, 2 T680. Principal = MIN(Opening, Payment - Interest)</t>
      </text>
    </comment>
    <comment ref="F45" authorId="0" shapeId="0">
      <text>
        <t>Loan: Paccar, 2 T680. Closing = Opening - Principal</t>
      </text>
    </comment>
    <comment ref="C46" authorId="0" shapeId="0">
      <text>
        <t>Links to: Prior month closing balance row 45</t>
      </text>
    </comment>
    <comment ref="D46" authorId="0" shapeId="0">
      <text>
        <t>Loan: Paccar, 2 T680. Interest = Opening * Annual Rate / 12</t>
      </text>
    </comment>
    <comment ref="E46" authorId="0" shapeId="0">
      <text>
        <t>Loan: Paccar, 2 T680. Principal = MIN(Opening, Payment - Interest)</t>
      </text>
    </comment>
    <comment ref="F46" authorId="0" shapeId="0">
      <text>
        <t>Loan: Paccar, 2 T680. Closing = Opening - Principal</t>
      </text>
    </comment>
    <comment ref="C47" authorId="0" shapeId="0">
      <text>
        <t>Links to: Prior month closing balance row 46</t>
      </text>
    </comment>
    <comment ref="D47" authorId="0" shapeId="0">
      <text>
        <t>Loan: Paccar, 2 T680. Interest = Opening * Annual Rate / 12</t>
      </text>
    </comment>
    <comment ref="E47" authorId="0" shapeId="0">
      <text>
        <t>Loan: Paccar, 2 T680. Principal = MIN(Opening, Payment - Interest)</t>
      </text>
    </comment>
    <comment ref="F47" authorId="0" shapeId="0">
      <text>
        <t>Loan: Paccar, 2 T680. Closing = Opening - Principal</t>
      </text>
    </comment>
    <comment ref="C48" authorId="0" shapeId="0">
      <text>
        <t>Links to: Prior month closing balance row 47</t>
      </text>
    </comment>
    <comment ref="D48" authorId="0" shapeId="0">
      <text>
        <t>Loan: Paccar, 2 T680. Interest = Opening * Annual Rate / 12</t>
      </text>
    </comment>
    <comment ref="E48" authorId="0" shapeId="0">
      <text>
        <t>Loan: Paccar, 2 T680. Principal = MIN(Opening, Payment - Interest)</t>
      </text>
    </comment>
    <comment ref="F48" authorId="0" shapeId="0">
      <text>
        <t>Loan: Paccar, 2 T680. Closing = Opening - Principal</t>
      </text>
    </comment>
    <comment ref="C49" authorId="0" shapeId="0">
      <text>
        <t>Links to: Prior month closing balance row 48</t>
      </text>
    </comment>
    <comment ref="D49" authorId="0" shapeId="0">
      <text>
        <t>Loan: Paccar, 2 T680. Interest = Opening * Annual Rate / 12</t>
      </text>
    </comment>
    <comment ref="E49" authorId="0" shapeId="0">
      <text>
        <t>Loan: Paccar, 2 T680. Principal = MIN(Opening, Payment - Interest)</t>
      </text>
    </comment>
    <comment ref="F49" authorId="0" shapeId="0">
      <text>
        <t>Loan: Paccar, 2 T680. Closing = Opening - Principal</t>
      </text>
    </comment>
    <comment ref="C50" authorId="0" shapeId="0">
      <text>
        <t>Links to: Prior month closing balance row 49</t>
      </text>
    </comment>
    <comment ref="D50" authorId="0" shapeId="0">
      <text>
        <t>Loan: Paccar, 2 T680. Interest = Opening * Annual Rate / 12</t>
      </text>
    </comment>
    <comment ref="E50" authorId="0" shapeId="0">
      <text>
        <t>Loan: Paccar, 2 T680. Principal = MIN(Opening, Payment - Interest)</t>
      </text>
    </comment>
    <comment ref="F50" authorId="0" shapeId="0">
      <text>
        <t>Loan: Paccar, 2 T680. Closing = Opening - Principal</t>
      </text>
    </comment>
    <comment ref="C51" authorId="0" shapeId="0">
      <text>
        <t>Links to: Prior month closing balance row 50</t>
      </text>
    </comment>
    <comment ref="D51" authorId="0" shapeId="0">
      <text>
        <t>Loan: Paccar, 2 T680. Interest = Opening * Annual Rate / 12</t>
      </text>
    </comment>
    <comment ref="E51" authorId="0" shapeId="0">
      <text>
        <t>Loan: Paccar, 2 T680. Principal = MIN(Opening, Payment - Interest)</t>
      </text>
    </comment>
    <comment ref="F51" authorId="0" shapeId="0">
      <text>
        <t>Loan: Paccar, 2 T680. Closing = Opening - Principal</t>
      </text>
    </comment>
    <comment ref="C52" authorId="0" shapeId="0">
      <text>
        <t>Links to: Prior month closing balance row 51</t>
      </text>
    </comment>
    <comment ref="D52" authorId="0" shapeId="0">
      <text>
        <t>Loan: Paccar, 2 T680. Interest = Opening * Annual Rate / 12</t>
      </text>
    </comment>
    <comment ref="E52" authorId="0" shapeId="0">
      <text>
        <t>Loan: Paccar, 2 T680. Principal = MIN(Opening, Payment - Interest)</t>
      </text>
    </comment>
    <comment ref="F52" authorId="0" shapeId="0">
      <text>
        <t>Loan: Paccar, 2 T680. Closing = Opening - Principal</t>
      </text>
    </comment>
    <comment ref="C53" authorId="0" shapeId="0">
      <text>
        <t>Links to: Prior month closing balance row 52</t>
      </text>
    </comment>
    <comment ref="D53" authorId="0" shapeId="0">
      <text>
        <t>Loan: Paccar, 2 T680. Interest = Opening * Annual Rate / 12</t>
      </text>
    </comment>
    <comment ref="E53" authorId="0" shapeId="0">
      <text>
        <t>Loan: Paccar, 2 T680. Principal = MIN(Opening, Payment - Interest)</t>
      </text>
    </comment>
    <comment ref="F53" authorId="0" shapeId="0">
      <text>
        <t>Loan: Paccar, 2 T680. Closing = Opening - Principal</t>
      </text>
    </comment>
    <comment ref="C54" authorId="0" shapeId="0">
      <text>
        <t>Links to: Prior month closing balance row 53</t>
      </text>
    </comment>
    <comment ref="D54" authorId="0" shapeId="0">
      <text>
        <t>Loan: Paccar, 2 T680. Interest = Opening * Annual Rate / 12</t>
      </text>
    </comment>
    <comment ref="E54" authorId="0" shapeId="0">
      <text>
        <t>Loan: Paccar, 2 T680. Principal = MIN(Opening, Payment - Interest)</t>
      </text>
    </comment>
    <comment ref="F54" authorId="0" shapeId="0">
      <text>
        <t>Loan: Paccar, 2 T680. Closing = Opening - Principal</t>
      </text>
    </comment>
    <comment ref="C55" authorId="0" shapeId="0">
      <text>
        <t>Links to: Prior month closing balance row 54</t>
      </text>
    </comment>
    <comment ref="D55" authorId="0" shapeId="0">
      <text>
        <t>Loan: Paccar, 2 T680. Interest = Opening * Annual Rate / 12</t>
      </text>
    </comment>
    <comment ref="E55" authorId="0" shapeId="0">
      <text>
        <t>Loan: Paccar, 2 T680. Principal = MIN(Opening, Payment - Interest)</t>
      </text>
    </comment>
    <comment ref="F55" authorId="0" shapeId="0">
      <text>
        <t>Loan: Paccar, 2 T680. Closing = Opening - Principal</t>
      </text>
    </comment>
    <comment ref="C56" authorId="0" shapeId="0">
      <text>
        <t>Links to: Prior month closing balance row 55</t>
      </text>
    </comment>
    <comment ref="D56" authorId="0" shapeId="0">
      <text>
        <t>Loan: Paccar, 2 T680. Interest = Opening * Annual Rate / 12</t>
      </text>
    </comment>
    <comment ref="E56" authorId="0" shapeId="0">
      <text>
        <t>Loan: Paccar, 2 T680. Principal = MIN(Opening, Payment - Interest)</t>
      </text>
    </comment>
    <comment ref="F56" authorId="0" shapeId="0">
      <text>
        <t>Loan: Paccar, 2 T680. Closing = Opening - Principal</t>
      </text>
    </comment>
    <comment ref="C57" authorId="0" shapeId="0">
      <text>
        <t>Links to: Prior month closing balance row 56</t>
      </text>
    </comment>
    <comment ref="D57" authorId="0" shapeId="0">
      <text>
        <t>Loan: Paccar, 2 T680. Interest = Opening * Annual Rate / 12</t>
      </text>
    </comment>
    <comment ref="E57" authorId="0" shapeId="0">
      <text>
        <t>Loan: Paccar, 2 T680. Principal = MIN(Opening, Payment - Interest)</t>
      </text>
    </comment>
    <comment ref="F57" authorId="0" shapeId="0">
      <text>
        <t>Loan: Paccar, 2 T680. Closing = Opening - Principal</t>
      </text>
    </comment>
    <comment ref="C58" authorId="0" shapeId="0">
      <text>
        <t>Links to: Prior month closing balance row 57</t>
      </text>
    </comment>
    <comment ref="D58" authorId="0" shapeId="0">
      <text>
        <t>Loan: Paccar, 2 T680. Interest = Opening * Annual Rate / 12</t>
      </text>
    </comment>
    <comment ref="E58" authorId="0" shapeId="0">
      <text>
        <t>Loan: Paccar, 2 T680. Principal = MIN(Opening, Payment - Interest)</t>
      </text>
    </comment>
    <comment ref="F58" authorId="0" shapeId="0">
      <text>
        <t>Loan: Paccar, 2 T680. Closing = Opening - Principal</t>
      </text>
    </comment>
    <comment ref="C59" authorId="0" shapeId="0">
      <text>
        <t>Links to: Prior month closing balance row 58</t>
      </text>
    </comment>
    <comment ref="D59" authorId="0" shapeId="0">
      <text>
        <t>Loan: Paccar, 2 T680. Interest = Opening * Annual Rate / 12</t>
      </text>
    </comment>
    <comment ref="E59" authorId="0" shapeId="0">
      <text>
        <t>Loan: Paccar, 2 T680. Principal = MIN(Opening, Payment - Interest)</t>
      </text>
    </comment>
    <comment ref="F59" authorId="0" shapeId="0">
      <text>
        <t>Loan: Paccar, 2 T680. Closing = Opening - Principal</t>
      </text>
    </comment>
    <comment ref="C60" authorId="0" shapeId="0">
      <text>
        <t>Links to: Prior month closing balance row 59</t>
      </text>
    </comment>
    <comment ref="D60" authorId="0" shapeId="0">
      <text>
        <t>Loan: Paccar, 2 T680. Interest = Opening * Annual Rate / 12</t>
      </text>
    </comment>
    <comment ref="E60" authorId="0" shapeId="0">
      <text>
        <t>Loan: Paccar, 2 T680. Principal = MIN(Opening, Payment - Interest)</t>
      </text>
    </comment>
    <comment ref="F60" authorId="0" shapeId="0">
      <text>
        <t>Loan: Paccar, 2 T680. Closing = Opening - Principal</t>
      </text>
    </comment>
    <comment ref="C61" authorId="0" shapeId="0">
      <text>
        <t>Links to: Prior month closing balance row 60</t>
      </text>
    </comment>
    <comment ref="D61" authorId="0" shapeId="0">
      <text>
        <t>Loan: Paccar, 2 T680. Interest = Opening * Annual Rate / 12</t>
      </text>
    </comment>
    <comment ref="E61" authorId="0" shapeId="0">
      <text>
        <t>Loan: Paccar, 2 T680. Principal = MIN(Opening, Payment - Interest)</t>
      </text>
    </comment>
    <comment ref="F61" authorId="0" shapeId="0">
      <text>
        <t>Loan: Paccar, 2 T680. Closing = Opening - Principal</t>
      </text>
    </comment>
    <comment ref="C66" authorId="0" shapeId="0">
      <text>
        <t>Sum of rows 23-34: Annual opening balance</t>
      </text>
    </comment>
    <comment ref="D66" authorId="0" shapeId="0">
      <text>
        <t>Sum of rows 23-34: Annual interest expense</t>
      </text>
    </comment>
    <comment ref="E66" authorId="0" shapeId="0">
      <text>
        <t>Sum of rows 23-34: Annual principal repayment</t>
      </text>
    </comment>
    <comment ref="F66" authorId="0" shapeId="0">
      <text>
        <t>Sum of rows 23-34: Year-end closing balance</t>
      </text>
    </comment>
    <comment ref="C67" authorId="0" shapeId="0">
      <text>
        <t>Sum of rows 35-46: Annual opening balance</t>
      </text>
    </comment>
    <comment ref="D67" authorId="0" shapeId="0">
      <text>
        <t>Sum of rows 35-46: Annual interest expense</t>
      </text>
    </comment>
    <comment ref="E67" authorId="0" shapeId="0">
      <text>
        <t>Sum of rows 35-46: Annual principal repayment</t>
      </text>
    </comment>
    <comment ref="F67" authorId="0" shapeId="0">
      <text>
        <t>Sum of rows 35-46: Year-end closing balance</t>
      </text>
    </comment>
    <comment ref="C68" authorId="0" shapeId="0">
      <text>
        <t>Sum of rows 47-58: Annual opening balance</t>
      </text>
    </comment>
    <comment ref="D68" authorId="0" shapeId="0">
      <text>
        <t>Sum of rows 47-58: Annual interest expense</t>
      </text>
    </comment>
    <comment ref="E68" authorId="0" shapeId="0">
      <text>
        <t>Sum of rows 47-58: Annual principal repayment</t>
      </text>
    </comment>
    <comment ref="F68" authorId="0" shapeId="0">
      <text>
        <t>Sum of rows 47-58: Year-end closing balance</t>
      </text>
    </comment>
    <comment ref="C69" authorId="0" shapeId="0">
      <text>
        <t>Sum of rows 59-61: Annual opening balance</t>
      </text>
    </comment>
    <comment ref="D69" authorId="0" shapeId="0">
      <text>
        <t>Sum of rows 59-61: Annual interest expense</t>
      </text>
    </comment>
    <comment ref="E69" authorId="0" shapeId="0">
      <text>
        <t>Sum of rows 59-61: Annual principal repayment</t>
      </text>
    </comment>
    <comment ref="F69" authorId="0" shapeId="0">
      <text>
        <t>Sum of rows 59-61: Year-end closing balance</t>
      </text>
    </comment>
    <comment ref="B72" authorId="0" shapeId="0">
      <text>
        <t>Links to: Year-end 2026 closing balance for Debt Schedule reference</t>
      </text>
    </comment>
  </commentList>
</comments>
</file>

<file path=xl/comments/comment3.xml><?xml version="1.0" encoding="utf-8"?>
<comments xmlns="http://schemas.openxmlformats.org/spreadsheetml/2006/main">
  <authors>
    <author>Model Builder</author>
  </authors>
  <commentList>
    <comment ref="B6" authorId="0" shapeId="0">
      <text>
        <t>Source: 13 Year Summary Financials.xlsx / Meiborg_YTD_IS_2025_12.pdf
Extracted: 2026-05-14
Year: 2022 Actual</t>
      </text>
    </comment>
    <comment ref="C6" authorId="0" shapeId="0">
      <text>
        <t>Source: 13 Year Summary Financials.xlsx / Meiborg_YTD_IS_2025_12.pdf
Extracted: 2026-05-14
Year: 2023 Actual</t>
      </text>
    </comment>
    <comment ref="D6" authorId="0" shapeId="0">
      <text>
        <t>Source: 13 Year Summary Financials.xlsx / Meiborg_YTD_IS_2025_12.pdf
Extracted: 2026-05-14
Year: 2024 Actual</t>
      </text>
    </comment>
    <comment ref="E6" authorId="0" shapeId="0">
      <text>
        <t>Source: 13 Year Summary Financials.xlsx / Meiborg_YTD_IS_2025_12.pdf
Extracted: 2026-05-14
Year: 2025 Actual</t>
      </text>
    </comment>
    <comment ref="F6" authorId="0" shapeId="0">
      <text>
        <t>Links to: Assumptions row 17 - Projected Revenue
Uses CHOOSE($D$3,...) for scenario switching</t>
      </text>
    </comment>
    <comment ref="G6" authorId="0" shapeId="0">
      <text>
        <t>Links to: Assumptions row 17 - Projected Revenue
Uses CHOOSE($D$3,...) for scenario switching</t>
      </text>
    </comment>
    <comment ref="H6" authorId="0" shapeId="0">
      <text>
        <t>Links to: Assumptions row 17 - Projected Revenue
Uses CHOOSE($D$3,...) for scenario switching</t>
      </text>
    </comment>
    <comment ref="B9" authorId="0" shapeId="0">
      <text>
        <t>Source: 13 Year Summary Financials.xlsx / Meiborg_YTD_IS_2025_12.pdf
Extracted: 2026-05-14
Year: 2022 Actual
Note: Stored as negative per sign convention</t>
      </text>
    </comment>
    <comment ref="C9" authorId="0" shapeId="0">
      <text>
        <t>Source: 13 Year Summary Financials.xlsx / Meiborg_YTD_IS_2025_12.pdf
Extracted: 2026-05-14
Year: 2023 Actual
Note: Stored as negative per sign convention</t>
      </text>
    </comment>
    <comment ref="D9" authorId="0" shapeId="0">
      <text>
        <t>Source: 13 Year Summary Financials.xlsx / Meiborg_YTD_IS_2025_12.pdf
Extracted: 2026-05-14
Year: 2024 Actual
Note: Stored as negative per sign convention</t>
      </text>
    </comment>
    <comment ref="E9" authorId="0" shapeId="0">
      <text>
        <t>Source: 13 Year Summary Financials.xlsx / Meiborg_YTD_IS_2025_12.pdf
Extracted: 2026-05-14
Year: 2025 Actual
Note: Stored as negative per sign convention</t>
      </text>
    </comment>
    <comment ref="F9" authorId="0" shapeId="0">
      <text>
        <t>Links to: Assumptions row 27 - Active Gross Margin
Formula: Revenue * (Gross Margin - 1) to produce negative COGS</t>
      </text>
    </comment>
    <comment ref="G9" authorId="0" shapeId="0">
      <text>
        <t>Links to: Assumptions row 27 - Active Gross Margin
Formula: Revenue * (Gross Margin - 1) to produce negative COGS</t>
      </text>
    </comment>
    <comment ref="H9" authorId="0" shapeId="0">
      <text>
        <t>Links to: Assumptions row 27 - Active Gross Margin
Formula: Revenue * (Gross Margin - 1) to produce negative COGS</t>
      </text>
    </comment>
    <comment ref="B10" authorId="0" shapeId="0">
      <text>
        <t>Gross Profit = Revenue + COGS (COGS is negative)
Formula: =Row6+Row9</t>
      </text>
    </comment>
    <comment ref="C10" authorId="0" shapeId="0">
      <text>
        <t>Gross Profit = Revenue + COGS (COGS is negative)
Formula: =Row6+Row9</t>
      </text>
    </comment>
    <comment ref="D10" authorId="0" shapeId="0">
      <text>
        <t>Gross Profit = Revenue + COGS (COGS is negative)
Formula: =Row6+Row9</t>
      </text>
    </comment>
    <comment ref="E10" authorId="0" shapeId="0">
      <text>
        <t>Gross Profit = Revenue + COGS (COGS is negative)
Formula: =Row6+Row9</t>
      </text>
    </comment>
    <comment ref="F10" authorId="0" shapeId="0">
      <text>
        <t>Sum of rows 6 and 9: Total Revenue + Total COGS</t>
      </text>
    </comment>
    <comment ref="G10" authorId="0" shapeId="0">
      <text>
        <t>Sum of rows 6 and 9: Total Revenue + Total COGS</t>
      </text>
    </comment>
    <comment ref="H10" authorId="0" shapeId="0">
      <text>
        <t>Sum of rows 6 and 9: Total Revenue + Total COGS</t>
      </text>
    </comment>
    <comment ref="B13" authorId="0" shapeId="0">
      <text>
        <t>Source: 13 Year Summary Financials.xlsx / Meiborg_YTD_IS_2025_12.pdf
Extracted: 2026-05-14
Year: 2022 Actual
Note: Stored as negative per sign convention</t>
      </text>
    </comment>
    <comment ref="C13" authorId="0" shapeId="0">
      <text>
        <t>Source: 13 Year Summary Financials.xlsx / Meiborg_YTD_IS_2025_12.pdf
Extracted: 2026-05-14
Year: 2023 Actual
Note: Stored as negative per sign convention</t>
      </text>
    </comment>
    <comment ref="D13" authorId="0" shapeId="0">
      <text>
        <t>Source: 13 Year Summary Financials.xlsx / Meiborg_YTD_IS_2025_12.pdf
Extracted: 2026-05-14
Year: 2024 Actual
Note: Stored as negative per sign convention</t>
      </text>
    </comment>
    <comment ref="E13" authorId="0" shapeId="0">
      <text>
        <t>Source: 13 Year Summary Financials.xlsx / Meiborg_YTD_IS_2025_12.pdf
Extracted: 2026-05-14
Year: 2025 Actual
Note: Stored as negative per sign convention</t>
      </text>
    </comment>
    <comment ref="F13" authorId="0" shapeId="0">
      <text>
        <t>Links to: Assumptions row 31 - Active OpEx %
Formula: -Revenue * OpEx% to produce negative OpEx</t>
      </text>
    </comment>
    <comment ref="G13" authorId="0" shapeId="0">
      <text>
        <t>Links to: Assumptions row 31 - Active OpEx %
Formula: -Revenue * OpEx% to produce negative OpEx</t>
      </text>
    </comment>
    <comment ref="H13" authorId="0" shapeId="0">
      <text>
        <t>Links to: Assumptions row 31 - Active OpEx %
Formula: -Revenue * OpEx% to produce negative OpEx</t>
      </text>
    </comment>
    <comment ref="B14" authorId="0" shapeId="0">
      <text>
        <t>EBITDA = Gross Profit + OpEx (OpEx is negative)
Formula: =Row10+Row13</t>
      </text>
    </comment>
    <comment ref="C14" authorId="0" shapeId="0">
      <text>
        <t>EBITDA = Gross Profit + OpEx (OpEx is negative)
Formula: =Row10+Row13</t>
      </text>
    </comment>
    <comment ref="D14" authorId="0" shapeId="0">
      <text>
        <t>EBITDA = Gross Profit + OpEx (OpEx is negative)
Formula: =Row10+Row13</t>
      </text>
    </comment>
    <comment ref="E14" authorId="0" shapeId="0">
      <text>
        <t>EBITDA = Gross Profit + OpEx (OpEx is negative)
Formula: =Row10+Row13</t>
      </text>
    </comment>
    <comment ref="F14" authorId="0" shapeId="0">
      <text>
        <t>Sum of rows 10 and 13: Gross Profit + Total OpEx</t>
      </text>
    </comment>
    <comment ref="G14" authorId="0" shapeId="0">
      <text>
        <t>Sum of rows 10 and 13: Gross Profit + Total OpEx</t>
      </text>
    </comment>
    <comment ref="H14" authorId="0" shapeId="0">
      <text>
        <t>Sum of rows 10 and 13: Gross Profit + Total OpEx</t>
      </text>
    </comment>
    <comment ref="B17" authorId="0" shapeId="0">
      <text>
        <t>Source: 13 Year Summary Financials.xlsx / Meiborg_YTD_IS_2025_12.pdf
Extracted: 2026-05-14
Year: 2022 Actual
Note: Stored as negative per sign convention</t>
      </text>
    </comment>
    <comment ref="C17" authorId="0" shapeId="0">
      <text>
        <t>Source: 13 Year Summary Financials.xlsx / Meiborg_YTD_IS_2025_12.pdf
Extracted: 2026-05-14
Year: 2023 Actual
Note: Stored as negative per sign convention</t>
      </text>
    </comment>
    <comment ref="D17" authorId="0" shapeId="0">
      <text>
        <t>Source: 13 Year Summary Financials.xlsx / Meiborg_YTD_IS_2025_12.pdf
Extracted: 2026-05-14
Year: 2024 Actual
Note: Stored as negative per sign convention</t>
      </text>
    </comment>
    <comment ref="E17" authorId="0" shapeId="0">
      <text>
        <t>Source: 13 Year Summary Financials.xlsx / Meiborg_YTD_IS_2025_12.pdf
Extracted: 2026-05-14
Year: 2025 Actual
Note: Stored as negative per sign convention</t>
      </text>
    </comment>
    <comment ref="F17" authorId="0" shapeId="0">
      <text>
        <t>Links to: Assumptions row 62 - Depreciation
Prior year * 0.95 (5% annual decline as assets age out). Negative on IS.</t>
      </text>
    </comment>
    <comment ref="G17" authorId="0" shapeId="0">
      <text>
        <t>Links to: Assumptions row 62 - Depreciation
Prior year * 0.95 (5% annual decline as assets age out). Negative on IS.</t>
      </text>
    </comment>
    <comment ref="H17" authorId="0" shapeId="0">
      <text>
        <t>Links to: Assumptions row 62 - Depreciation
Prior year * 0.95 (5% annual decline as assets age out). Negative on IS.</t>
      </text>
    </comment>
    <comment ref="B18" authorId="0" shapeId="0">
      <text>
        <t>EBIT = EBITDA + D&amp;A (D&amp;A is negative)
Formula: =Row14+Row17</t>
      </text>
    </comment>
    <comment ref="C18" authorId="0" shapeId="0">
      <text>
        <t>EBIT = EBITDA + D&amp;A (D&amp;A is negative)
Formula: =Row14+Row17</t>
      </text>
    </comment>
    <comment ref="D18" authorId="0" shapeId="0">
      <text>
        <t>EBIT = EBITDA + D&amp;A (D&amp;A is negative)
Formula: =Row14+Row17</t>
      </text>
    </comment>
    <comment ref="E18" authorId="0" shapeId="0">
      <text>
        <t>EBIT = EBITDA + D&amp;A (D&amp;A is negative)
Formula: =Row14+Row17</t>
      </text>
    </comment>
    <comment ref="F18" authorId="0" shapeId="0">
      <text>
        <t>Sum of rows 14 and 17: EBITDA + D&amp;A</t>
      </text>
    </comment>
    <comment ref="G18" authorId="0" shapeId="0">
      <text>
        <t>Sum of rows 14 and 17: EBITDA + D&amp;A</t>
      </text>
    </comment>
    <comment ref="H18" authorId="0" shapeId="0">
      <text>
        <t>Sum of rows 14 and 17: EBITDA + D&amp;A</t>
      </text>
    </comment>
    <comment ref="B21" authorId="0" shapeId="0">
      <text>
        <t>Source: 13 Year Summary Financials.xlsx / Meiborg_YTD_IS_2025_12.pdf
Extracted: 2026-05-14
Year: 2022 Actual
Note: Placeholder - will link to Debt Schedule later</t>
      </text>
    </comment>
    <comment ref="C21" authorId="0" shapeId="0">
      <text>
        <t>Source: 13 Year Summary Financials.xlsx / Meiborg_YTD_IS_2025_12.pdf
Extracted: 2026-05-14
Year: 2023 Actual
Note: Placeholder - will link to Debt Schedule later</t>
      </text>
    </comment>
    <comment ref="D21" authorId="0" shapeId="0">
      <text>
        <t>Source: 13 Year Summary Financials.xlsx / Meiborg_YTD_IS_2025_12.pdf
Extracted: 2026-05-14
Year: 2024 Actual
Note: Placeholder - will link to Debt Schedule later</t>
      </text>
    </comment>
    <comment ref="E21" authorId="0" shapeId="0">
      <text>
        <t>Source: 13 Year Summary Financials.xlsx / Meiborg_YTD_IS_2025_12.pdf
Extracted: 2026-05-14
Year: 2025 Actual
Note: Placeholder - will link to Debt Schedule later</t>
      </text>
    </comment>
    <comment ref="F21" authorId="0" shapeId="0">
      <text>
        <t>Projection: Prior year interest expense * 0.9 (estimated debt paydown effect)
Source: Assumes ~10% annual debt reduction from amortization</t>
      </text>
    </comment>
    <comment ref="G21" authorId="0" shapeId="0">
      <text>
        <t>Projection: Prior year interest expense * 0.9 (estimated debt paydown effect)
Source: Assumes ~10% annual debt reduction from amortization</t>
      </text>
    </comment>
    <comment ref="H21" authorId="0" shapeId="0">
      <text>
        <t>Projection: Prior year interest expense * 0.9 (estimated debt paydown effect)
Source: Assumes ~10% annual debt reduction from amortization</t>
      </text>
    </comment>
    <comment ref="B22" authorId="0" shapeId="0">
      <text>
        <t>Source: 13 Year Summary Financials.xlsx / Meiborg_YTD_IS_2025_12.pdf
Extracted: 2026-05-14
Year: 2022 Actual</t>
      </text>
    </comment>
    <comment ref="C22" authorId="0" shapeId="0">
      <text>
        <t>Source: 13 Year Summary Financials.xlsx / Meiborg_YTD_IS_2025_12.pdf
Extracted: 2026-05-14
Year: 2023 Actual</t>
      </text>
    </comment>
    <comment ref="D22" authorId="0" shapeId="0">
      <text>
        <t>Source: 13 Year Summary Financials.xlsx / Meiborg_YTD_IS_2025_12.pdf
Extracted: 2026-05-14
Year: 2024 Actual</t>
      </text>
    </comment>
    <comment ref="E22" authorId="0" shapeId="0">
      <text>
        <t>Source: 13 Year Summary Financials.xlsx / Meiborg_YTD_IS_2025_12.pdf
Extracted: 2026-05-14
Year: 2025 Actual</t>
      </text>
    </comment>
    <comment ref="F22" authorId="0" shapeId="0">
      <text>
        <t>Projection: Held flat from prior year (minimal interest income)</t>
      </text>
    </comment>
    <comment ref="G22" authorId="0" shapeId="0">
      <text>
        <t>Projection: Held flat from prior year (minimal interest income)</t>
      </text>
    </comment>
    <comment ref="H22" authorId="0" shapeId="0">
      <text>
        <t>Projection: Held flat from prior year (minimal interest income)</t>
      </text>
    </comment>
    <comment ref="B23" authorId="0" shapeId="0">
      <text>
        <t>Source: 13 Year Summary Financials.xlsx / Meiborg_YTD_IS_2025_12.pdf
Extracted: 2026-05-14
Year: 2022 Actual</t>
      </text>
    </comment>
    <comment ref="C23" authorId="0" shapeId="0">
      <text>
        <t>Source: 13 Year Summary Financials.xlsx / Meiborg_YTD_IS_2025_12.pdf
Extracted: 2026-05-14
Year: 2023 Actual</t>
      </text>
    </comment>
    <comment ref="D23" authorId="0" shapeId="0">
      <text>
        <t>Source: 13 Year Summary Financials.xlsx / Meiborg_YTD_IS_2025_12.pdf
Extracted: 2026-05-14
Year: 2024 Actual</t>
      </text>
    </comment>
    <comment ref="E23" authorId="0" shapeId="0">
      <text>
        <t>Source: 13 Year Summary Financials.xlsx / Meiborg_YTD_IS_2025_12.pdf
Extracted: 2026-05-14
Year: 2025 Actual</t>
      </text>
    </comment>
    <comment ref="F23" authorId="0" shapeId="0">
      <text>
        <t>Projection: Held flat from prior year</t>
      </text>
    </comment>
    <comment ref="G23" authorId="0" shapeId="0">
      <text>
        <t>Projection: Held flat from prior year</t>
      </text>
    </comment>
    <comment ref="H23" authorId="0" shapeId="0">
      <text>
        <t>Projection: Held flat from prior year</t>
      </text>
    </comment>
    <comment ref="B24" authorId="0" shapeId="0">
      <text>
        <t>Source: 13 Year Summary Financials.xlsx / Meiborg_YTD_IS_2025_12.pdf
Extracted: 2026-05-14
Year: 2022 Actual
Note: Gains are positive (reduce expense)</t>
      </text>
    </comment>
    <comment ref="C24" authorId="0" shapeId="0">
      <text>
        <t>Source: 13 Year Summary Financials.xlsx / Meiborg_YTD_IS_2025_12.pdf
Extracted: 2026-05-14
Year: 2023 Actual
Note: Gains are positive (reduce expense)</t>
      </text>
    </comment>
    <comment ref="D24" authorId="0" shapeId="0">
      <text>
        <t>Source: 13 Year Summary Financials.xlsx / Meiborg_YTD_IS_2025_12.pdf
Extracted: 2026-05-14
Year: 2024 Actual
Note: Gains are positive (reduce expense)</t>
      </text>
    </comment>
    <comment ref="E24" authorId="0" shapeId="0">
      <text>
        <t>Source: 13 Year Summary Financials.xlsx / Meiborg_YTD_IS_2025_12.pdf
Extracted: 2026-05-14
Year: 2025 Actual
Note: Gains are positive (reduce expense)</t>
      </text>
    </comment>
    <comment ref="F24" authorId="0" shapeId="0">
      <text>
        <t>Projection: Set to 0 (gains/losses on asset sales are non-recurring)</t>
      </text>
    </comment>
    <comment ref="G24" authorId="0" shapeId="0">
      <text>
        <t>Projection: Set to 0 (gains/losses on asset sales are non-recurring)</t>
      </text>
    </comment>
    <comment ref="H24" authorId="0" shapeId="0">
      <text>
        <t>Projection: Set to 0 (gains/losses on asset sales are non-recurring)</t>
      </text>
    </comment>
    <comment ref="B25" authorId="0" shapeId="0">
      <text>
        <t>EBT = EBIT + Interest Exp + Interest Inc + Other Inc + Gain/Loss
Formula sums rows 18, 21, 22, 23, 24</t>
      </text>
    </comment>
    <comment ref="C25" authorId="0" shapeId="0">
      <text>
        <t>EBT = EBIT + Interest Exp + Interest Inc + Other Inc + Gain/Loss
Formula sums rows 18, 21, 22, 23, 24</t>
      </text>
    </comment>
    <comment ref="D25" authorId="0" shapeId="0">
      <text>
        <t>EBT = EBIT + Interest Exp + Interest Inc + Other Inc + Gain/Loss
Formula sums rows 18, 21, 22, 23, 24</t>
      </text>
    </comment>
    <comment ref="E25" authorId="0" shapeId="0">
      <text>
        <t>EBT = EBIT + Interest Exp + Interest Inc + Other Inc + Gain/Loss
Formula sums rows 18, 21, 22, 23, 24</t>
      </text>
    </comment>
    <comment ref="F25" authorId="0" shapeId="0">
      <text>
        <t>Sum of rows 18, 21, 22, 23, 24:
EBIT + Interest Expense + Interest Income + Other Inc + Gain/Loss</t>
      </text>
    </comment>
    <comment ref="G25" authorId="0" shapeId="0">
      <text>
        <t>Sum of rows 18, 21, 22, 23, 24:
EBIT + Interest Expense + Interest Income + Other Inc + Gain/Loss</t>
      </text>
    </comment>
    <comment ref="H25" authorId="0" shapeId="0">
      <text>
        <t>Sum of rows 18, 21, 22, 23, 24:
EBIT + Interest Expense + Interest Income + Other Inc + Gain/Loss</t>
      </text>
    </comment>
    <comment ref="B28" authorId="0" shapeId="0">
      <text>
        <t>Source: 13 Year Summary Financials.xlsx / Meiborg_YTD_IS_2025_12.pdf
Extracted: 2026-05-14
Year: 2022 Actual
Note: S-Corp - minimal/no entity-level tax</t>
      </text>
    </comment>
    <comment ref="C28" authorId="0" shapeId="0">
      <text>
        <t>Source: 13 Year Summary Financials.xlsx / Meiborg_YTD_IS_2025_12.pdf
Extracted: 2026-05-14
Year: 2023 Actual
Note: S-Corp - minimal/no entity-level tax</t>
      </text>
    </comment>
    <comment ref="D28" authorId="0" shapeId="0">
      <text>
        <t>Source: 13 Year Summary Financials.xlsx / Meiborg_YTD_IS_2025_12.pdf
Extracted: 2026-05-14
Year: 2024 Actual
Note: S-Corp - minimal/no entity-level tax</t>
      </text>
    </comment>
    <comment ref="E28" authorId="0" shapeId="0">
      <text>
        <t>Source: 13 Year Summary Financials.xlsx / Meiborg_YTD_IS_2025_12.pdf
Extracted: 2026-05-14
Year: 2025 Actual
Note: S-Corp - minimal/no entity-level tax</t>
      </text>
    </comment>
    <comment ref="F28" authorId="0" shapeId="0">
      <text>
        <t>Links to: Assumptions row 60 - Tax Rate
Formula: -MAX(0,EBT) * Tax Rate (S-Corp at 0%)</t>
      </text>
    </comment>
    <comment ref="G28" authorId="0" shapeId="0">
      <text>
        <t>Links to: Assumptions row 60 - Tax Rate
Formula: -MAX(0,EBT) * Tax Rate (S-Corp at 0%)</t>
      </text>
    </comment>
    <comment ref="H28" authorId="0" shapeId="0">
      <text>
        <t>Links to: Assumptions row 60 - Tax Rate
Formula: -MAX(0,EBT) * Tax Rate (S-Corp at 0%)</t>
      </text>
    </comment>
    <comment ref="B29" authorId="0" shapeId="0">
      <text>
        <t>Net Income = EBT + Tax (Tax is negative)
Formula: =Row25+Row28</t>
      </text>
    </comment>
    <comment ref="C29" authorId="0" shapeId="0">
      <text>
        <t>Net Income = EBT + Tax (Tax is negative)
Formula: =Row25+Row28</t>
      </text>
    </comment>
    <comment ref="D29" authorId="0" shapeId="0">
      <text>
        <t>Net Income = EBT + Tax (Tax is negative)
Formula: =Row25+Row28</t>
      </text>
    </comment>
    <comment ref="E29" authorId="0" shapeId="0">
      <text>
        <t>Net Income = EBT + Tax (Tax is negative)
Formula: =Row25+Row28</t>
      </text>
    </comment>
    <comment ref="F29" authorId="0" shapeId="0">
      <text>
        <t>Sum of rows 25 and 28: EBT + Income Taxes</t>
      </text>
    </comment>
    <comment ref="G29" authorId="0" shapeId="0">
      <text>
        <t>Sum of rows 25 and 28: EBT + Income Taxes</t>
      </text>
    </comment>
    <comment ref="H29" authorId="0" shapeId="0">
      <text>
        <t>Sum of rows 25 and 28: EBT + Income Taxes</t>
      </text>
    </comment>
    <comment ref="B33" authorId="0" shapeId="0">
      <text>
        <t>Historical year - Debt Schedule only contains current balances.
No historical DS comparison available.</t>
      </text>
    </comment>
    <comment ref="C33" authorId="0" shapeId="0">
      <text>
        <t>Historical year - Debt Schedule only contains current balances.
No historical DS comparison available.</t>
      </text>
    </comment>
    <comment ref="D33" authorId="0" shapeId="0">
      <text>
        <t>Historical year - Debt Schedule only contains current balances.
No historical DS comparison available.</t>
      </text>
    </comment>
    <comment ref="E33" authorId="0" shapeId="0">
      <text>
        <t>Links to: Debt Schedule row 171 - GRAND TOTAL - ALL DEBT, Annual Interest column
Source: DS F171 = Sum of all loan annual interest calculations</t>
      </text>
    </comment>
    <comment ref="F33" authorId="0" shapeId="0">
      <text>
        <t>Debt Schedule does not have projected annual interest.
N/A for projection years.</t>
      </text>
    </comment>
    <comment ref="G33" authorId="0" shapeId="0">
      <text>
        <t>Debt Schedule does not have projected annual interest.
N/A for projection years.</t>
      </text>
    </comment>
    <comment ref="H33" authorId="0" shapeId="0">
      <text>
        <t>Debt Schedule does not have projected annual interest.
N/A for projection years.</t>
      </text>
    </comment>
    <comment ref="B34" authorId="0" shapeId="0">
      <text>
        <t>Check: DS Interest vs Source Document Interest.
Must be 0 for model to tie. Non-zero indicates discrepancy.</t>
      </text>
    </comment>
    <comment ref="C34" authorId="0" shapeId="0">
      <text>
        <t>Check: DS Interest vs Source Document Interest.
Must be 0 for model to tie. Non-zero indicates discrepancy.</t>
      </text>
    </comment>
    <comment ref="D34" authorId="0" shapeId="0">
      <text>
        <t>Check: DS Interest vs Source Document Interest.
Must be 0 for model to tie. Non-zero indicates discrepancy.</t>
      </text>
    </comment>
    <comment ref="E34" authorId="0" shapeId="0">
      <text>
        <t>Check: DS Interest vs Source Document Interest.
Must be 0 for model to tie. Non-zero indicates discrepancy.</t>
      </text>
    </comment>
    <comment ref="F34" authorId="0" shapeId="0">
      <text>
        <t>Check: DS Interest vs Source Document Interest.
Must be 0 for model to tie. Non-zero indicates discrepancy.</t>
      </text>
    </comment>
    <comment ref="G34" authorId="0" shapeId="0">
      <text>
        <t>Check: DS Interest vs Source Document Interest.
Must be 0 for model to tie. Non-zero indicates discrepancy.</t>
      </text>
    </comment>
    <comment ref="H34" authorId="0" shapeId="0">
      <text>
        <t>Check: DS Interest vs Source Document Interest.
Must be 0 for model to tie. Non-zero indicates discrepancy.</t>
      </text>
    </comment>
    <comment ref="B38" authorId="0" shapeId="0">
      <text>
        <t>EBITDA Margin = EBITDA / Revenue
Formula: =Row14/Row6</t>
      </text>
    </comment>
    <comment ref="C38" authorId="0" shapeId="0">
      <text>
        <t>EBITDA Margin = EBITDA / Revenue
Formula: =Row14/Row6</t>
      </text>
    </comment>
    <comment ref="D38" authorId="0" shapeId="0">
      <text>
        <t>EBITDA Margin = EBITDA / Revenue
Formula: =Row14/Row6</t>
      </text>
    </comment>
    <comment ref="E38" authorId="0" shapeId="0">
      <text>
        <t>EBITDA Margin = EBITDA / Revenue
Formula: =Row14/Row6</t>
      </text>
    </comment>
    <comment ref="F38" authorId="0" shapeId="0">
      <text>
        <t>EBITDA Margin = EBITDA / Revenue
Formula: =Row14/Row6</t>
      </text>
    </comment>
    <comment ref="G38" authorId="0" shapeId="0">
      <text>
        <t>EBITDA Margin = EBITDA / Revenue
Formula: =Row14/Row6</t>
      </text>
    </comment>
    <comment ref="H38" authorId="0" shapeId="0">
      <text>
        <t>EBITDA Margin = EBITDA / Revenue
Formula: =Row14/Row6</t>
      </text>
    </comment>
    <comment ref="B39" authorId="0" shapeId="0">
      <text>
        <t>Source: 13 Year Summary Financials.xlsx / Meiborg_YTD_IS_2025_12.pdf
Extracted: 2026-05-14
Year: 2022 Actual - stated net income for validation</t>
      </text>
    </comment>
    <comment ref="C39" authorId="0" shapeId="0">
      <text>
        <t>Source: 13 Year Summary Financials.xlsx / Meiborg_YTD_IS_2025_12.pdf
Extracted: 2026-05-14
Year: 2023 Actual - stated net income for validation</t>
      </text>
    </comment>
    <comment ref="D39" authorId="0" shapeId="0">
      <text>
        <t>Source: 13 Year Summary Financials.xlsx / Meiborg_YTD_IS_2025_12.pdf
Extracted: 2026-05-14
Year: 2024 Actual - stated net income for validation</t>
      </text>
    </comment>
    <comment ref="E39" authorId="0" shapeId="0">
      <text>
        <t>Source: 13 Year Summary Financials.xlsx / Meiborg_YTD_IS_2025_12.pdf
Extracted: 2026-05-14
Year: 2025 Actual - stated net income for validation</t>
      </text>
    </comment>
    <comment ref="F39" authorId="0" shapeId="0">
      <text>
        <t>Projection year - no source value for validation</t>
      </text>
    </comment>
    <comment ref="G39" authorId="0" shapeId="0">
      <text>
        <t>Projection year - no source value for validation</t>
      </text>
    </comment>
    <comment ref="H39" authorId="0" shapeId="0">
      <text>
        <t>Projection year - no source value for validation</t>
      </text>
    </comment>
    <comment ref="B40" authorId="0" shapeId="0">
      <text>
        <t>Check: Calculated Net Income - Source Net Income
Must be 0. Non-zero = model error.</t>
      </text>
    </comment>
    <comment ref="C40" authorId="0" shapeId="0">
      <text>
        <t>Check: Calculated Net Income - Source Net Income
Must be 0. Non-zero = model error.</t>
      </text>
    </comment>
    <comment ref="D40" authorId="0" shapeId="0">
      <text>
        <t>Check: Calculated Net Income - Source Net Income
Must be 0. Non-zero = model error.</t>
      </text>
    </comment>
    <comment ref="E40" authorId="0" shapeId="0">
      <text>
        <t>Check: Calculated Net Income - Source Net Income
Must be 0. Non-zero = model error.</t>
      </text>
    </comment>
    <comment ref="F40" authorId="0" shapeId="0">
      <text>
        <t>Projection year - no source value for validation</t>
      </text>
    </comment>
    <comment ref="G40" authorId="0" shapeId="0">
      <text>
        <t>Projection year - no source value for validation</t>
      </text>
    </comment>
    <comment ref="H40" authorId="0" shapeId="0">
      <text>
        <t>Projection year - no source value for validation</t>
      </text>
    </comment>
  </commentList>
</comments>
</file>

<file path=xl/comments/comment30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loans.md, Paccar Loan 19
Extracted: 2026-05-14</t>
      </text>
    </comment>
    <comment ref="B6" authorId="0" shapeId="0">
      <text>
        <t>Loan: Paccar, 7 T680. Source: Meiborg_Debt_Schedule_202512.xlsx
Balance as of 12/31/2025</t>
      </text>
    </comment>
    <comment ref="B7" authorId="0" shapeId="0">
      <text>
        <t>Loan: Paccar, 7 T680. Source: Meiborg_Debt_Schedule_202512.xlsx</t>
      </text>
    </comment>
    <comment ref="B8" authorId="0" shapeId="0">
      <text>
        <t>Loan: Paccar, 7 T680. Source: Meiborg_Debt_Schedule_202512.xlsx</t>
      </text>
    </comment>
    <comment ref="C23" authorId="0" shapeId="0">
      <text>
        <t>Links to: Opening Balance input cell B6</t>
      </text>
    </comment>
    <comment ref="D23" authorId="0" shapeId="0">
      <text>
        <t>Loan: Paccar, 7 T680. Interest = Opening * Annual Rate / 12</t>
      </text>
    </comment>
    <comment ref="E23" authorId="0" shapeId="0">
      <text>
        <t>Loan: Paccar, 7 T680. Principal = MIN(Opening, Payment - Interest)</t>
      </text>
    </comment>
    <comment ref="F23" authorId="0" shapeId="0">
      <text>
        <t>Loan: Paccar, 7 T680. Closing = Opening - Principal</t>
      </text>
    </comment>
    <comment ref="C24" authorId="0" shapeId="0">
      <text>
        <t>Links to: Prior month closing balance row 23</t>
      </text>
    </comment>
    <comment ref="D24" authorId="0" shapeId="0">
      <text>
        <t>Loan: Paccar, 7 T680. Interest = Opening * Annual Rate / 12</t>
      </text>
    </comment>
    <comment ref="E24" authorId="0" shapeId="0">
      <text>
        <t>Loan: Paccar, 7 T680. Principal = MIN(Opening, Payment - Interest)</t>
      </text>
    </comment>
    <comment ref="F24" authorId="0" shapeId="0">
      <text>
        <t>Loan: Paccar, 7 T680. Closing = Opening - Principal</t>
      </text>
    </comment>
    <comment ref="C25" authorId="0" shapeId="0">
      <text>
        <t>Links to: Prior month closing balance row 24</t>
      </text>
    </comment>
    <comment ref="D25" authorId="0" shapeId="0">
      <text>
        <t>Loan: Paccar, 7 T680. Interest = Opening * Annual Rate / 12</t>
      </text>
    </comment>
    <comment ref="E25" authorId="0" shapeId="0">
      <text>
        <t>Loan: Paccar, 7 T680. Principal = MIN(Opening, Payment - Interest)</t>
      </text>
    </comment>
    <comment ref="F25" authorId="0" shapeId="0">
      <text>
        <t>Loan: Paccar, 7 T680. Closing = Opening - Principal</t>
      </text>
    </comment>
    <comment ref="C26" authorId="0" shapeId="0">
      <text>
        <t>Links to: Prior month closing balance row 25</t>
      </text>
    </comment>
    <comment ref="D26" authorId="0" shapeId="0">
      <text>
        <t>Loan: Paccar, 7 T680. Interest = Opening * Annual Rate / 12</t>
      </text>
    </comment>
    <comment ref="E26" authorId="0" shapeId="0">
      <text>
        <t>Loan: Paccar, 7 T680. Principal = MIN(Opening, Payment - Interest)</t>
      </text>
    </comment>
    <comment ref="F26" authorId="0" shapeId="0">
      <text>
        <t>Loan: Paccar, 7 T680. Closing = Opening - Principal</t>
      </text>
    </comment>
    <comment ref="C27" authorId="0" shapeId="0">
      <text>
        <t>Links to: Prior month closing balance row 26</t>
      </text>
    </comment>
    <comment ref="D27" authorId="0" shapeId="0">
      <text>
        <t>Loan: Paccar, 7 T680. Interest = Opening * Annual Rate / 12</t>
      </text>
    </comment>
    <comment ref="E27" authorId="0" shapeId="0">
      <text>
        <t>Loan: Paccar, 7 T680. Principal = MIN(Opening, Payment - Interest)</t>
      </text>
    </comment>
    <comment ref="F27" authorId="0" shapeId="0">
      <text>
        <t>Loan: Paccar, 7 T680. Closing = Opening - Principal</t>
      </text>
    </comment>
    <comment ref="C28" authorId="0" shapeId="0">
      <text>
        <t>Links to: Prior month closing balance row 27</t>
      </text>
    </comment>
    <comment ref="D28" authorId="0" shapeId="0">
      <text>
        <t>Loan: Paccar, 7 T680. Interest = Opening * Annual Rate / 12</t>
      </text>
    </comment>
    <comment ref="E28" authorId="0" shapeId="0">
      <text>
        <t>Loan: Paccar, 7 T680. Principal = MIN(Opening, Payment - Interest)</t>
      </text>
    </comment>
    <comment ref="F28" authorId="0" shapeId="0">
      <text>
        <t>Loan: Paccar, 7 T680. Closing = Opening - Principal</t>
      </text>
    </comment>
    <comment ref="C29" authorId="0" shapeId="0">
      <text>
        <t>Links to: Prior month closing balance row 28</t>
      </text>
    </comment>
    <comment ref="D29" authorId="0" shapeId="0">
      <text>
        <t>Loan: Paccar, 7 T680. Interest = Opening * Annual Rate / 12</t>
      </text>
    </comment>
    <comment ref="E29" authorId="0" shapeId="0">
      <text>
        <t>Loan: Paccar, 7 T680. Principal = MIN(Opening, Payment - Interest)</t>
      </text>
    </comment>
    <comment ref="F29" authorId="0" shapeId="0">
      <text>
        <t>Loan: Paccar, 7 T680. Closing = Opening - Principal</t>
      </text>
    </comment>
    <comment ref="C30" authorId="0" shapeId="0">
      <text>
        <t>Links to: Prior month closing balance row 29</t>
      </text>
    </comment>
    <comment ref="D30" authorId="0" shapeId="0">
      <text>
        <t>Loan: Paccar, 7 T680. Interest = Opening * Annual Rate / 12</t>
      </text>
    </comment>
    <comment ref="E30" authorId="0" shapeId="0">
      <text>
        <t>Loan: Paccar, 7 T680. Principal = MIN(Opening, Payment - Interest)</t>
      </text>
    </comment>
    <comment ref="F30" authorId="0" shapeId="0">
      <text>
        <t>Loan: Paccar, 7 T680. Closing = Opening - Principal</t>
      </text>
    </comment>
    <comment ref="C31" authorId="0" shapeId="0">
      <text>
        <t>Links to: Prior month closing balance row 30</t>
      </text>
    </comment>
    <comment ref="D31" authorId="0" shapeId="0">
      <text>
        <t>Loan: Paccar, 7 T680. Interest = Opening * Annual Rate / 12</t>
      </text>
    </comment>
    <comment ref="E31" authorId="0" shapeId="0">
      <text>
        <t>Loan: Paccar, 7 T680. Principal = MIN(Opening, Payment - Interest)</t>
      </text>
    </comment>
    <comment ref="F31" authorId="0" shapeId="0">
      <text>
        <t>Loan: Paccar, 7 T680. Closing = Opening - Principal</t>
      </text>
    </comment>
    <comment ref="C32" authorId="0" shapeId="0">
      <text>
        <t>Links to: Prior month closing balance row 31</t>
      </text>
    </comment>
    <comment ref="D32" authorId="0" shapeId="0">
      <text>
        <t>Loan: Paccar, 7 T680. Interest = Opening * Annual Rate / 12</t>
      </text>
    </comment>
    <comment ref="E32" authorId="0" shapeId="0">
      <text>
        <t>Loan: Paccar, 7 T680. Principal = MIN(Opening, Payment - Interest)</t>
      </text>
    </comment>
    <comment ref="F32" authorId="0" shapeId="0">
      <text>
        <t>Loan: Paccar, 7 T680. Closing = Opening - Principal</t>
      </text>
    </comment>
    <comment ref="C33" authorId="0" shapeId="0">
      <text>
        <t>Links to: Prior month closing balance row 32</t>
      </text>
    </comment>
    <comment ref="D33" authorId="0" shapeId="0">
      <text>
        <t>Loan: Paccar, 7 T680. Interest = Opening * Annual Rate / 12</t>
      </text>
    </comment>
    <comment ref="E33" authorId="0" shapeId="0">
      <text>
        <t>Loan: Paccar, 7 T680. Principal = MIN(Opening, Payment - Interest)</t>
      </text>
    </comment>
    <comment ref="F33" authorId="0" shapeId="0">
      <text>
        <t>Loan: Paccar, 7 T680. Closing = Opening - Principal</t>
      </text>
    </comment>
    <comment ref="C34" authorId="0" shapeId="0">
      <text>
        <t>Links to: Prior month closing balance row 33</t>
      </text>
    </comment>
    <comment ref="D34" authorId="0" shapeId="0">
      <text>
        <t>Loan: Paccar, 7 T680. Interest = Opening * Annual Rate / 12</t>
      </text>
    </comment>
    <comment ref="E34" authorId="0" shapeId="0">
      <text>
        <t>Loan: Paccar, 7 T680. Principal = MIN(Opening, Payment - Interest)</t>
      </text>
    </comment>
    <comment ref="F34" authorId="0" shapeId="0">
      <text>
        <t>Loan: Paccar, 7 T680. Closing = Opening - Principal</t>
      </text>
    </comment>
    <comment ref="C35" authorId="0" shapeId="0">
      <text>
        <t>Links to: Prior month closing balance row 34</t>
      </text>
    </comment>
    <comment ref="D35" authorId="0" shapeId="0">
      <text>
        <t>Loan: Paccar, 7 T680. Interest = Opening * Annual Rate / 12</t>
      </text>
    </comment>
    <comment ref="E35" authorId="0" shapeId="0">
      <text>
        <t>Loan: Paccar, 7 T680. Principal = MIN(Opening, Payment - Interest)</t>
      </text>
    </comment>
    <comment ref="F35" authorId="0" shapeId="0">
      <text>
        <t>Loan: Paccar, 7 T680. Closing = Opening - Principal</t>
      </text>
    </comment>
    <comment ref="C36" authorId="0" shapeId="0">
      <text>
        <t>Links to: Prior month closing balance row 35</t>
      </text>
    </comment>
    <comment ref="D36" authorId="0" shapeId="0">
      <text>
        <t>Loan: Paccar, 7 T680. Interest = Opening * Annual Rate / 12</t>
      </text>
    </comment>
    <comment ref="E36" authorId="0" shapeId="0">
      <text>
        <t>Loan: Paccar, 7 T680. Principal = MIN(Opening, Payment - Interest)</t>
      </text>
    </comment>
    <comment ref="F36" authorId="0" shapeId="0">
      <text>
        <t>Loan: Paccar, 7 T680. Closing = Opening - Principal</t>
      </text>
    </comment>
    <comment ref="C37" authorId="0" shapeId="0">
      <text>
        <t>Links to: Prior month closing balance row 36</t>
      </text>
    </comment>
    <comment ref="D37" authorId="0" shapeId="0">
      <text>
        <t>Loan: Paccar, 7 T680. Interest = Opening * Annual Rate / 12</t>
      </text>
    </comment>
    <comment ref="E37" authorId="0" shapeId="0">
      <text>
        <t>Loan: Paccar, 7 T680. Principal = MIN(Opening, Payment - Interest)</t>
      </text>
    </comment>
    <comment ref="F37" authorId="0" shapeId="0">
      <text>
        <t>Loan: Paccar, 7 T680. Closing = Opening - Principal</t>
      </text>
    </comment>
    <comment ref="C38" authorId="0" shapeId="0">
      <text>
        <t>Links to: Prior month closing balance row 37</t>
      </text>
    </comment>
    <comment ref="D38" authorId="0" shapeId="0">
      <text>
        <t>Loan: Paccar, 7 T680. Interest = Opening * Annual Rate / 12</t>
      </text>
    </comment>
    <comment ref="E38" authorId="0" shapeId="0">
      <text>
        <t>Loan: Paccar, 7 T680. Principal = MIN(Opening, Payment - Interest)</t>
      </text>
    </comment>
    <comment ref="F38" authorId="0" shapeId="0">
      <text>
        <t>Loan: Paccar, 7 T680. Closing = Opening - Principal</t>
      </text>
    </comment>
    <comment ref="C39" authorId="0" shapeId="0">
      <text>
        <t>Links to: Prior month closing balance row 38</t>
      </text>
    </comment>
    <comment ref="D39" authorId="0" shapeId="0">
      <text>
        <t>Loan: Paccar, 7 T680. Interest = Opening * Annual Rate / 12</t>
      </text>
    </comment>
    <comment ref="E39" authorId="0" shapeId="0">
      <text>
        <t>Loan: Paccar, 7 T680. Principal = MIN(Opening, Payment - Interest)</t>
      </text>
    </comment>
    <comment ref="F39" authorId="0" shapeId="0">
      <text>
        <t>Loan: Paccar, 7 T680. Closing = Opening - Principal</t>
      </text>
    </comment>
    <comment ref="C40" authorId="0" shapeId="0">
      <text>
        <t>Links to: Prior month closing balance row 39</t>
      </text>
    </comment>
    <comment ref="D40" authorId="0" shapeId="0">
      <text>
        <t>Loan: Paccar, 7 T680. Interest = Opening * Annual Rate / 12</t>
      </text>
    </comment>
    <comment ref="E40" authorId="0" shapeId="0">
      <text>
        <t>Loan: Paccar, 7 T680. Principal = MIN(Opening, Payment - Interest)</t>
      </text>
    </comment>
    <comment ref="F40" authorId="0" shapeId="0">
      <text>
        <t>Loan: Paccar, 7 T680. Closing = Opening - Principal</t>
      </text>
    </comment>
    <comment ref="C41" authorId="0" shapeId="0">
      <text>
        <t>Links to: Prior month closing balance row 40</t>
      </text>
    </comment>
    <comment ref="D41" authorId="0" shapeId="0">
      <text>
        <t>Loan: Paccar, 7 T680. Interest = Opening * Annual Rate / 12</t>
      </text>
    </comment>
    <comment ref="E41" authorId="0" shapeId="0">
      <text>
        <t>Loan: Paccar, 7 T680. Principal = MIN(Opening, Payment - Interest)</t>
      </text>
    </comment>
    <comment ref="F41" authorId="0" shapeId="0">
      <text>
        <t>Loan: Paccar, 7 T680. Closing = Opening - Principal</t>
      </text>
    </comment>
    <comment ref="C42" authorId="0" shapeId="0">
      <text>
        <t>Links to: Prior month closing balance row 41</t>
      </text>
    </comment>
    <comment ref="D42" authorId="0" shapeId="0">
      <text>
        <t>Loan: Paccar, 7 T680. Interest = Opening * Annual Rate / 12</t>
      </text>
    </comment>
    <comment ref="E42" authorId="0" shapeId="0">
      <text>
        <t>Loan: Paccar, 7 T680. Principal = MIN(Opening, Payment - Interest)</t>
      </text>
    </comment>
    <comment ref="F42" authorId="0" shapeId="0">
      <text>
        <t>Loan: Paccar, 7 T680. Closing = Opening - Principal</t>
      </text>
    </comment>
    <comment ref="C43" authorId="0" shapeId="0">
      <text>
        <t>Links to: Prior month closing balance row 42</t>
      </text>
    </comment>
    <comment ref="D43" authorId="0" shapeId="0">
      <text>
        <t>Loan: Paccar, 7 T680. Interest = Opening * Annual Rate / 12</t>
      </text>
    </comment>
    <comment ref="E43" authorId="0" shapeId="0">
      <text>
        <t>Loan: Paccar, 7 T680. Principal = MIN(Opening, Payment - Interest)</t>
      </text>
    </comment>
    <comment ref="F43" authorId="0" shapeId="0">
      <text>
        <t>Loan: Paccar, 7 T680. Closing = Opening - Principal</t>
      </text>
    </comment>
    <comment ref="C44" authorId="0" shapeId="0">
      <text>
        <t>Links to: Prior month closing balance row 43</t>
      </text>
    </comment>
    <comment ref="D44" authorId="0" shapeId="0">
      <text>
        <t>Loan: Paccar, 7 T680. Interest = Opening * Annual Rate / 12</t>
      </text>
    </comment>
    <comment ref="E44" authorId="0" shapeId="0">
      <text>
        <t>Loan: Paccar, 7 T680. Principal = MIN(Opening, Payment - Interest)</t>
      </text>
    </comment>
    <comment ref="F44" authorId="0" shapeId="0">
      <text>
        <t>Loan: Paccar, 7 T680. Closing = Opening - Principal</t>
      </text>
    </comment>
    <comment ref="C45" authorId="0" shapeId="0">
      <text>
        <t>Links to: Prior month closing balance row 44</t>
      </text>
    </comment>
    <comment ref="D45" authorId="0" shapeId="0">
      <text>
        <t>Loan: Paccar, 7 T680. Interest = Opening * Annual Rate / 12</t>
      </text>
    </comment>
    <comment ref="E45" authorId="0" shapeId="0">
      <text>
        <t>Loan: Paccar, 7 T680. Principal = MIN(Opening, Payment - Interest)</t>
      </text>
    </comment>
    <comment ref="F45" authorId="0" shapeId="0">
      <text>
        <t>Loan: Paccar, 7 T680. Closing = Opening - Principal</t>
      </text>
    </comment>
    <comment ref="C46" authorId="0" shapeId="0">
      <text>
        <t>Links to: Prior month closing balance row 45</t>
      </text>
    </comment>
    <comment ref="D46" authorId="0" shapeId="0">
      <text>
        <t>Loan: Paccar, 7 T680. Interest = Opening * Annual Rate / 12</t>
      </text>
    </comment>
    <comment ref="E46" authorId="0" shapeId="0">
      <text>
        <t>Loan: Paccar, 7 T680. Principal = MIN(Opening, Payment - Interest)</t>
      </text>
    </comment>
    <comment ref="F46" authorId="0" shapeId="0">
      <text>
        <t>Loan: Paccar, 7 T680. Closing = Opening - Principal</t>
      </text>
    </comment>
    <comment ref="C47" authorId="0" shapeId="0">
      <text>
        <t>Links to: Prior month closing balance row 46</t>
      </text>
    </comment>
    <comment ref="D47" authorId="0" shapeId="0">
      <text>
        <t>Loan: Paccar, 7 T680. Interest = Opening * Annual Rate / 12</t>
      </text>
    </comment>
    <comment ref="E47" authorId="0" shapeId="0">
      <text>
        <t>Loan: Paccar, 7 T680. Principal = MIN(Opening, Payment - Interest)</t>
      </text>
    </comment>
    <comment ref="F47" authorId="0" shapeId="0">
      <text>
        <t>Loan: Paccar, 7 T680. Closing = Opening - Principal</t>
      </text>
    </comment>
    <comment ref="C48" authorId="0" shapeId="0">
      <text>
        <t>Links to: Prior month closing balance row 47</t>
      </text>
    </comment>
    <comment ref="D48" authorId="0" shapeId="0">
      <text>
        <t>Loan: Paccar, 7 T680. Interest = Opening * Annual Rate / 12</t>
      </text>
    </comment>
    <comment ref="E48" authorId="0" shapeId="0">
      <text>
        <t>Loan: Paccar, 7 T680. Principal = MIN(Opening, Payment - Interest)</t>
      </text>
    </comment>
    <comment ref="F48" authorId="0" shapeId="0">
      <text>
        <t>Loan: Paccar, 7 T680. Closing = Opening - Principal</t>
      </text>
    </comment>
    <comment ref="C49" authorId="0" shapeId="0">
      <text>
        <t>Links to: Prior month closing balance row 48</t>
      </text>
    </comment>
    <comment ref="D49" authorId="0" shapeId="0">
      <text>
        <t>Loan: Paccar, 7 T680. Interest = Opening * Annual Rate / 12</t>
      </text>
    </comment>
    <comment ref="E49" authorId="0" shapeId="0">
      <text>
        <t>Loan: Paccar, 7 T680. Principal = MIN(Opening, Payment - Interest)</t>
      </text>
    </comment>
    <comment ref="F49" authorId="0" shapeId="0">
      <text>
        <t>Loan: Paccar, 7 T680. Closing = Opening - Principal</t>
      </text>
    </comment>
    <comment ref="C50" authorId="0" shapeId="0">
      <text>
        <t>Links to: Prior month closing balance row 49</t>
      </text>
    </comment>
    <comment ref="D50" authorId="0" shapeId="0">
      <text>
        <t>Loan: Paccar, 7 T680. Interest = Opening * Annual Rate / 12</t>
      </text>
    </comment>
    <comment ref="E50" authorId="0" shapeId="0">
      <text>
        <t>Loan: Paccar, 7 T680. Principal = MIN(Opening, Payment - Interest)</t>
      </text>
    </comment>
    <comment ref="F50" authorId="0" shapeId="0">
      <text>
        <t>Loan: Paccar, 7 T680. Closing = Opening - Principal</t>
      </text>
    </comment>
    <comment ref="C51" authorId="0" shapeId="0">
      <text>
        <t>Links to: Prior month closing balance row 50</t>
      </text>
    </comment>
    <comment ref="D51" authorId="0" shapeId="0">
      <text>
        <t>Loan: Paccar, 7 T680. Interest = Opening * Annual Rate / 12</t>
      </text>
    </comment>
    <comment ref="E51" authorId="0" shapeId="0">
      <text>
        <t>Loan: Paccar, 7 T680. Principal = MIN(Opening, Payment - Interest)</t>
      </text>
    </comment>
    <comment ref="F51" authorId="0" shapeId="0">
      <text>
        <t>Loan: Paccar, 7 T680. Closing = Opening - Principal</t>
      </text>
    </comment>
    <comment ref="C52" authorId="0" shapeId="0">
      <text>
        <t>Links to: Prior month closing balance row 51</t>
      </text>
    </comment>
    <comment ref="D52" authorId="0" shapeId="0">
      <text>
        <t>Loan: Paccar, 7 T680. Interest = Opening * Annual Rate / 12</t>
      </text>
    </comment>
    <comment ref="E52" authorId="0" shapeId="0">
      <text>
        <t>Loan: Paccar, 7 T680. Principal = MIN(Opening, Payment - Interest)</t>
      </text>
    </comment>
    <comment ref="F52" authorId="0" shapeId="0">
      <text>
        <t>Loan: Paccar, 7 T680. Closing = Opening - Principal</t>
      </text>
    </comment>
    <comment ref="C53" authorId="0" shapeId="0">
      <text>
        <t>Links to: Prior month closing balance row 52</t>
      </text>
    </comment>
    <comment ref="D53" authorId="0" shapeId="0">
      <text>
        <t>Loan: Paccar, 7 T680. Interest = Opening * Annual Rate / 12</t>
      </text>
    </comment>
    <comment ref="E53" authorId="0" shapeId="0">
      <text>
        <t>Loan: Paccar, 7 T680. Principal = MIN(Opening, Payment - Interest)</t>
      </text>
    </comment>
    <comment ref="F53" authorId="0" shapeId="0">
      <text>
        <t>Loan: Paccar, 7 T680. Closing = Opening - Principal</t>
      </text>
    </comment>
    <comment ref="C54" authorId="0" shapeId="0">
      <text>
        <t>Links to: Prior month closing balance row 53</t>
      </text>
    </comment>
    <comment ref="D54" authorId="0" shapeId="0">
      <text>
        <t>Loan: Paccar, 7 T680. Interest = Opening * Annual Rate / 12</t>
      </text>
    </comment>
    <comment ref="E54" authorId="0" shapeId="0">
      <text>
        <t>Loan: Paccar, 7 T680. Principal = MIN(Opening, Payment - Interest)</t>
      </text>
    </comment>
    <comment ref="F54" authorId="0" shapeId="0">
      <text>
        <t>Loan: Paccar, 7 T680. Closing = Opening - Principal</t>
      </text>
    </comment>
    <comment ref="C55" authorId="0" shapeId="0">
      <text>
        <t>Links to: Prior month closing balance row 54</t>
      </text>
    </comment>
    <comment ref="D55" authorId="0" shapeId="0">
      <text>
        <t>Loan: Paccar, 7 T680. Interest = Opening * Annual Rate / 12</t>
      </text>
    </comment>
    <comment ref="E55" authorId="0" shapeId="0">
      <text>
        <t>Loan: Paccar, 7 T680. Principal = MIN(Opening, Payment - Interest)</t>
      </text>
    </comment>
    <comment ref="F55" authorId="0" shapeId="0">
      <text>
        <t>Loan: Paccar, 7 T680. Closing = Opening - Principal</t>
      </text>
    </comment>
    <comment ref="C56" authorId="0" shapeId="0">
      <text>
        <t>Links to: Prior month closing balance row 55</t>
      </text>
    </comment>
    <comment ref="D56" authorId="0" shapeId="0">
      <text>
        <t>Loan: Paccar, 7 T680. Interest = Opening * Annual Rate / 12</t>
      </text>
    </comment>
    <comment ref="E56" authorId="0" shapeId="0">
      <text>
        <t>Loan: Paccar, 7 T680. Principal = MIN(Opening, Payment - Interest)</t>
      </text>
    </comment>
    <comment ref="F56" authorId="0" shapeId="0">
      <text>
        <t>Loan: Paccar, 7 T680. Closing = Opening - Principal</t>
      </text>
    </comment>
    <comment ref="C57" authorId="0" shapeId="0">
      <text>
        <t>Links to: Prior month closing balance row 56</t>
      </text>
    </comment>
    <comment ref="D57" authorId="0" shapeId="0">
      <text>
        <t>Loan: Paccar, 7 T680. Interest = Opening * Annual Rate / 12</t>
      </text>
    </comment>
    <comment ref="E57" authorId="0" shapeId="0">
      <text>
        <t>Loan: Paccar, 7 T680. Principal = MIN(Opening, Payment - Interest)</t>
      </text>
    </comment>
    <comment ref="F57" authorId="0" shapeId="0">
      <text>
        <t>Loan: Paccar, 7 T680. Closing = Opening - Principal</t>
      </text>
    </comment>
    <comment ref="C58" authorId="0" shapeId="0">
      <text>
        <t>Links to: Prior month closing balance row 57</t>
      </text>
    </comment>
    <comment ref="D58" authorId="0" shapeId="0">
      <text>
        <t>Loan: Paccar, 7 T680. Interest = Opening * Annual Rate / 12</t>
      </text>
    </comment>
    <comment ref="E58" authorId="0" shapeId="0">
      <text>
        <t>Loan: Paccar, 7 T680. Principal = MIN(Opening, Payment - Interest)</t>
      </text>
    </comment>
    <comment ref="F58" authorId="0" shapeId="0">
      <text>
        <t>Loan: Paccar, 7 T680. Closing = Opening - Principal</t>
      </text>
    </comment>
    <comment ref="C59" authorId="0" shapeId="0">
      <text>
        <t>Links to: Prior month closing balance row 58</t>
      </text>
    </comment>
    <comment ref="D59" authorId="0" shapeId="0">
      <text>
        <t>Loan: Paccar, 7 T680. Interest = Opening * Annual Rate / 12</t>
      </text>
    </comment>
    <comment ref="E59" authorId="0" shapeId="0">
      <text>
        <t>Loan: Paccar, 7 T680. Principal = MIN(Opening, Payment - Interest)</t>
      </text>
    </comment>
    <comment ref="F59" authorId="0" shapeId="0">
      <text>
        <t>Loan: Paccar, 7 T680. Closing = Opening - Principal</t>
      </text>
    </comment>
    <comment ref="C60" authorId="0" shapeId="0">
      <text>
        <t>Links to: Prior month closing balance row 59</t>
      </text>
    </comment>
    <comment ref="D60" authorId="0" shapeId="0">
      <text>
        <t>Loan: Paccar, 7 T680. Interest = Opening * Annual Rate / 12</t>
      </text>
    </comment>
    <comment ref="E60" authorId="0" shapeId="0">
      <text>
        <t>Loan: Paccar, 7 T680. Principal = MIN(Opening, Payment - Interest)</t>
      </text>
    </comment>
    <comment ref="F60" authorId="0" shapeId="0">
      <text>
        <t>Loan: Paccar, 7 T680. Closing = Opening - Principal</t>
      </text>
    </comment>
    <comment ref="C61" authorId="0" shapeId="0">
      <text>
        <t>Links to: Prior month closing balance row 60</t>
      </text>
    </comment>
    <comment ref="D61" authorId="0" shapeId="0">
      <text>
        <t>Loan: Paccar, 7 T680. Interest = Opening * Annual Rate / 12</t>
      </text>
    </comment>
    <comment ref="E61" authorId="0" shapeId="0">
      <text>
        <t>Loan: Paccar, 7 T680. Principal = MIN(Opening, Payment - Interest)</t>
      </text>
    </comment>
    <comment ref="F61" authorId="0" shapeId="0">
      <text>
        <t>Loan: Paccar, 7 T680. Closing = Opening - Principal</t>
      </text>
    </comment>
    <comment ref="C62" authorId="0" shapeId="0">
      <text>
        <t>Links to: Prior month closing balance row 61</t>
      </text>
    </comment>
    <comment ref="D62" authorId="0" shapeId="0">
      <text>
        <t>Loan: Paccar, 7 T680. Interest = Opening * Annual Rate / 12</t>
      </text>
    </comment>
    <comment ref="E62" authorId="0" shapeId="0">
      <text>
        <t>Loan: Paccar, 7 T680. Principal = MIN(Opening, Payment - Interest)</t>
      </text>
    </comment>
    <comment ref="F62" authorId="0" shapeId="0">
      <text>
        <t>Loan: Paccar, 7 T680. Closing = Opening - Principal</t>
      </text>
    </comment>
    <comment ref="C63" authorId="0" shapeId="0">
      <text>
        <t>Links to: Prior month closing balance row 62</t>
      </text>
    </comment>
    <comment ref="D63" authorId="0" shapeId="0">
      <text>
        <t>Loan: Paccar, 7 T680. Interest = Opening * Annual Rate / 12</t>
      </text>
    </comment>
    <comment ref="E63" authorId="0" shapeId="0">
      <text>
        <t>Loan: Paccar, 7 T680. Principal = MIN(Opening, Payment - Interest)</t>
      </text>
    </comment>
    <comment ref="F63" authorId="0" shapeId="0">
      <text>
        <t>Loan: Paccar, 7 T680. Closing = Opening - Principal</t>
      </text>
    </comment>
    <comment ref="C64" authorId="0" shapeId="0">
      <text>
        <t>Links to: Prior month closing balance row 63</t>
      </text>
    </comment>
    <comment ref="D64" authorId="0" shapeId="0">
      <text>
        <t>Loan: Paccar, 7 T680. Interest = Opening * Annual Rate / 12</t>
      </text>
    </comment>
    <comment ref="E64" authorId="0" shapeId="0">
      <text>
        <t>Loan: Paccar, 7 T680. Principal = MIN(Opening, Payment - Interest)</t>
      </text>
    </comment>
    <comment ref="F64" authorId="0" shapeId="0">
      <text>
        <t>Loan: Paccar, 7 T680. Closing = Opening - Principal</t>
      </text>
    </comment>
    <comment ref="C65" authorId="0" shapeId="0">
      <text>
        <t>Links to: Prior month closing balance row 64</t>
      </text>
    </comment>
    <comment ref="D65" authorId="0" shapeId="0">
      <text>
        <t>Loan: Paccar, 7 T680. Interest = Opening * Annual Rate / 12</t>
      </text>
    </comment>
    <comment ref="E65" authorId="0" shapeId="0">
      <text>
        <t>Loan: Paccar, 7 T680. Principal = MIN(Opening, Payment - Interest)</t>
      </text>
    </comment>
    <comment ref="F65" authorId="0" shapeId="0">
      <text>
        <t>Loan: Paccar, 7 T680. Closing = Opening - Principal</t>
      </text>
    </comment>
    <comment ref="C66" authorId="0" shapeId="0">
      <text>
        <t>Links to: Prior month closing balance row 65</t>
      </text>
    </comment>
    <comment ref="D66" authorId="0" shapeId="0">
      <text>
        <t>Loan: Paccar, 7 T680. Interest = Opening * Annual Rate / 12</t>
      </text>
    </comment>
    <comment ref="E66" authorId="0" shapeId="0">
      <text>
        <t>Loan: Paccar, 7 T680. Principal = MIN(Opening, Payment - Interest)</t>
      </text>
    </comment>
    <comment ref="F66" authorId="0" shapeId="0">
      <text>
        <t>Loan: Paccar, 7 T680. Closing = Opening - Principal</t>
      </text>
    </comment>
    <comment ref="C67" authorId="0" shapeId="0">
      <text>
        <t>Links to: Prior month closing balance row 66</t>
      </text>
    </comment>
    <comment ref="D67" authorId="0" shapeId="0">
      <text>
        <t>Loan: Paccar, 7 T680. Interest = Opening * Annual Rate / 12</t>
      </text>
    </comment>
    <comment ref="E67" authorId="0" shapeId="0">
      <text>
        <t>Loan: Paccar, 7 T680. Principal = MIN(Opening, Payment - Interest)</t>
      </text>
    </comment>
    <comment ref="F67" authorId="0" shapeId="0">
      <text>
        <t>Loan: Paccar, 7 T680. Closing = Opening - Principal</t>
      </text>
    </comment>
    <comment ref="C68" authorId="0" shapeId="0">
      <text>
        <t>Links to: Prior month closing balance row 67</t>
      </text>
    </comment>
    <comment ref="D68" authorId="0" shapeId="0">
      <text>
        <t>Loan: Paccar, 7 T680. Interest = Opening * Annual Rate / 12</t>
      </text>
    </comment>
    <comment ref="E68" authorId="0" shapeId="0">
      <text>
        <t>Loan: Paccar, 7 T680. Principal = MIN(Opening, Payment - Interest)</t>
      </text>
    </comment>
    <comment ref="F68" authorId="0" shapeId="0">
      <text>
        <t>Loan: Paccar, 7 T680. Closing = Opening - Principal</t>
      </text>
    </comment>
    <comment ref="C69" authorId="0" shapeId="0">
      <text>
        <t>Links to: Prior month closing balance row 68</t>
      </text>
    </comment>
    <comment ref="D69" authorId="0" shapeId="0">
      <text>
        <t>Loan: Paccar, 7 T680. Interest = Opening * Annual Rate / 12</t>
      </text>
    </comment>
    <comment ref="E69" authorId="0" shapeId="0">
      <text>
        <t>Loan: Paccar, 7 T680. Principal = MIN(Opening, Payment - Interest)</t>
      </text>
    </comment>
    <comment ref="F69" authorId="0" shapeId="0">
      <text>
        <t>Loan: Paccar, 7 T680. Closing = Opening - Principal</t>
      </text>
    </comment>
    <comment ref="C70" authorId="0" shapeId="0">
      <text>
        <t>Links to: Prior month closing balance row 69</t>
      </text>
    </comment>
    <comment ref="D70" authorId="0" shapeId="0">
      <text>
        <t>Loan: Paccar, 7 T680. Interest = Opening * Annual Rate / 12</t>
      </text>
    </comment>
    <comment ref="E70" authorId="0" shapeId="0">
      <text>
        <t>Loan: Paccar, 7 T680. Principal = MIN(Opening, Payment - Interest)</t>
      </text>
    </comment>
    <comment ref="F70" authorId="0" shapeId="0">
      <text>
        <t>Loan: Paccar, 7 T680. Closing = Opening - Principal</t>
      </text>
    </comment>
    <comment ref="C75" authorId="0" shapeId="0">
      <text>
        <t>Sum of rows 23-34: Annual opening balance</t>
      </text>
    </comment>
    <comment ref="D75" authorId="0" shapeId="0">
      <text>
        <t>Sum of rows 23-34: Annual interest expense</t>
      </text>
    </comment>
    <comment ref="E75" authorId="0" shapeId="0">
      <text>
        <t>Sum of rows 23-34: Annual principal repayment</t>
      </text>
    </comment>
    <comment ref="F75" authorId="0" shapeId="0">
      <text>
        <t>Sum of rows 23-34: Year-end closing balance</t>
      </text>
    </comment>
    <comment ref="C76" authorId="0" shapeId="0">
      <text>
        <t>Sum of rows 35-46: Annual opening balance</t>
      </text>
    </comment>
    <comment ref="D76" authorId="0" shapeId="0">
      <text>
        <t>Sum of rows 35-46: Annual interest expense</t>
      </text>
    </comment>
    <comment ref="E76" authorId="0" shapeId="0">
      <text>
        <t>Sum of rows 35-46: Annual principal repayment</t>
      </text>
    </comment>
    <comment ref="F76" authorId="0" shapeId="0">
      <text>
        <t>Sum of rows 35-46: Year-end closing balance</t>
      </text>
    </comment>
    <comment ref="C77" authorId="0" shapeId="0">
      <text>
        <t>Sum of rows 47-58: Annual opening balance</t>
      </text>
    </comment>
    <comment ref="D77" authorId="0" shapeId="0">
      <text>
        <t>Sum of rows 47-58: Annual interest expense</t>
      </text>
    </comment>
    <comment ref="E77" authorId="0" shapeId="0">
      <text>
        <t>Sum of rows 47-58: Annual principal repayment</t>
      </text>
    </comment>
    <comment ref="F77" authorId="0" shapeId="0">
      <text>
        <t>Sum of rows 47-58: Year-end closing balance</t>
      </text>
    </comment>
    <comment ref="C78" authorId="0" shapeId="0">
      <text>
        <t>Sum of rows 59-70: Annual opening balance</t>
      </text>
    </comment>
    <comment ref="D78" authorId="0" shapeId="0">
      <text>
        <t>Sum of rows 59-70: Annual interest expense</t>
      </text>
    </comment>
    <comment ref="E78" authorId="0" shapeId="0">
      <text>
        <t>Sum of rows 59-70: Annual principal repayment</t>
      </text>
    </comment>
    <comment ref="F78" authorId="0" shapeId="0">
      <text>
        <t>Sum of rows 59-70: Year-end closing balance</t>
      </text>
    </comment>
    <comment ref="B81" authorId="0" shapeId="0">
      <text>
        <t>Links to: Year-end 2026 closing balance for Debt Schedule reference</t>
      </text>
    </comment>
  </commentList>
</comments>
</file>

<file path=xl/comments/comment31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loans.md, Paccar Loan 20
Extracted: 2026-05-14</t>
      </text>
    </comment>
    <comment ref="B6" authorId="0" shapeId="0">
      <text>
        <t>Loan: Paccar, 5 Peterbilt 579s. Source: Meiborg_Debt_Schedule_202512.xlsx
Balance as of 12/31/2025</t>
      </text>
    </comment>
    <comment ref="B7" authorId="0" shapeId="0">
      <text>
        <t>Loan: Paccar, 5 Peterbilt 579s. Source: Meiborg_Debt_Schedule_202512.xlsx</t>
      </text>
    </comment>
    <comment ref="B8" authorId="0" shapeId="0">
      <text>
        <t>Loan: Paccar, 5 Peterbilt 579s. Source: Meiborg_Debt_Schedule_202512.xlsx</t>
      </text>
    </comment>
    <comment ref="C23" authorId="0" shapeId="0">
      <text>
        <t>Links to: Opening Balance input cell B6</t>
      </text>
    </comment>
    <comment ref="D23" authorId="0" shapeId="0">
      <text>
        <t>Loan: Paccar, 5 Peterbilt 579s. Interest = Opening * Annual Rate / 12</t>
      </text>
    </comment>
    <comment ref="E23" authorId="0" shapeId="0">
      <text>
        <t>Loan: Paccar, 5 Peterbilt 579s. Principal = MIN(Opening, Payment - Interest)</t>
      </text>
    </comment>
    <comment ref="F23" authorId="0" shapeId="0">
      <text>
        <t>Loan: Paccar, 5 Peterbilt 579s. Closing = Opening - Principal</t>
      </text>
    </comment>
    <comment ref="C24" authorId="0" shapeId="0">
      <text>
        <t>Links to: Prior month closing balance row 23</t>
      </text>
    </comment>
    <comment ref="D24" authorId="0" shapeId="0">
      <text>
        <t>Loan: Paccar, 5 Peterbilt 579s. Interest = Opening * Annual Rate / 12</t>
      </text>
    </comment>
    <comment ref="E24" authorId="0" shapeId="0">
      <text>
        <t>Loan: Paccar, 5 Peterbilt 579s. Principal = MIN(Opening, Payment - Interest)</t>
      </text>
    </comment>
    <comment ref="F24" authorId="0" shapeId="0">
      <text>
        <t>Loan: Paccar, 5 Peterbilt 579s. Closing = Opening - Principal</t>
      </text>
    </comment>
    <comment ref="C25" authorId="0" shapeId="0">
      <text>
        <t>Links to: Prior month closing balance row 24</t>
      </text>
    </comment>
    <comment ref="D25" authorId="0" shapeId="0">
      <text>
        <t>Loan: Paccar, 5 Peterbilt 579s. Interest = Opening * Annual Rate / 12</t>
      </text>
    </comment>
    <comment ref="E25" authorId="0" shapeId="0">
      <text>
        <t>Loan: Paccar, 5 Peterbilt 579s. Principal = MIN(Opening, Payment - Interest)</t>
      </text>
    </comment>
    <comment ref="F25" authorId="0" shapeId="0">
      <text>
        <t>Loan: Paccar, 5 Peterbilt 579s. Closing = Opening - Principal</t>
      </text>
    </comment>
    <comment ref="C26" authorId="0" shapeId="0">
      <text>
        <t>Links to: Prior month closing balance row 25</t>
      </text>
    </comment>
    <comment ref="D26" authorId="0" shapeId="0">
      <text>
        <t>Loan: Paccar, 5 Peterbilt 579s. Interest = Opening * Annual Rate / 12</t>
      </text>
    </comment>
    <comment ref="E26" authorId="0" shapeId="0">
      <text>
        <t>Loan: Paccar, 5 Peterbilt 579s. Principal = MIN(Opening, Payment - Interest)</t>
      </text>
    </comment>
    <comment ref="F26" authorId="0" shapeId="0">
      <text>
        <t>Loan: Paccar, 5 Peterbilt 579s. Closing = Opening - Principal</t>
      </text>
    </comment>
    <comment ref="C27" authorId="0" shapeId="0">
      <text>
        <t>Links to: Prior month closing balance row 26</t>
      </text>
    </comment>
    <comment ref="D27" authorId="0" shapeId="0">
      <text>
        <t>Loan: Paccar, 5 Peterbilt 579s. Interest = Opening * Annual Rate / 12</t>
      </text>
    </comment>
    <comment ref="E27" authorId="0" shapeId="0">
      <text>
        <t>Loan: Paccar, 5 Peterbilt 579s. Principal = MIN(Opening, Payment - Interest)</t>
      </text>
    </comment>
    <comment ref="F27" authorId="0" shapeId="0">
      <text>
        <t>Loan: Paccar, 5 Peterbilt 579s. Closing = Opening - Principal</t>
      </text>
    </comment>
    <comment ref="C28" authorId="0" shapeId="0">
      <text>
        <t>Links to: Prior month closing balance row 27</t>
      </text>
    </comment>
    <comment ref="D28" authorId="0" shapeId="0">
      <text>
        <t>Loan: Paccar, 5 Peterbilt 579s. Interest = Opening * Annual Rate / 12</t>
      </text>
    </comment>
    <comment ref="E28" authorId="0" shapeId="0">
      <text>
        <t>Loan: Paccar, 5 Peterbilt 579s. Principal = MIN(Opening, Payment - Interest)</t>
      </text>
    </comment>
    <comment ref="F28" authorId="0" shapeId="0">
      <text>
        <t>Loan: Paccar, 5 Peterbilt 579s. Closing = Opening - Principal</t>
      </text>
    </comment>
    <comment ref="C29" authorId="0" shapeId="0">
      <text>
        <t>Links to: Prior month closing balance row 28</t>
      </text>
    </comment>
    <comment ref="D29" authorId="0" shapeId="0">
      <text>
        <t>Loan: Paccar, 5 Peterbilt 579s. Interest = Opening * Annual Rate / 12</t>
      </text>
    </comment>
    <comment ref="E29" authorId="0" shapeId="0">
      <text>
        <t>Loan: Paccar, 5 Peterbilt 579s. Principal = MIN(Opening, Payment - Interest)</t>
      </text>
    </comment>
    <comment ref="F29" authorId="0" shapeId="0">
      <text>
        <t>Loan: Paccar, 5 Peterbilt 579s. Closing = Opening - Principal</t>
      </text>
    </comment>
    <comment ref="C30" authorId="0" shapeId="0">
      <text>
        <t>Links to: Prior month closing balance row 29</t>
      </text>
    </comment>
    <comment ref="D30" authorId="0" shapeId="0">
      <text>
        <t>Loan: Paccar, 5 Peterbilt 579s. Interest = Opening * Annual Rate / 12</t>
      </text>
    </comment>
    <comment ref="E30" authorId="0" shapeId="0">
      <text>
        <t>Loan: Paccar, 5 Peterbilt 579s. Principal = MIN(Opening, Payment - Interest)</t>
      </text>
    </comment>
    <comment ref="F30" authorId="0" shapeId="0">
      <text>
        <t>Loan: Paccar, 5 Peterbilt 579s. Closing = Opening - Principal</t>
      </text>
    </comment>
    <comment ref="C31" authorId="0" shapeId="0">
      <text>
        <t>Links to: Prior month closing balance row 30</t>
      </text>
    </comment>
    <comment ref="D31" authorId="0" shapeId="0">
      <text>
        <t>Loan: Paccar, 5 Peterbilt 579s. Interest = Opening * Annual Rate / 12</t>
      </text>
    </comment>
    <comment ref="E31" authorId="0" shapeId="0">
      <text>
        <t>Loan: Paccar, 5 Peterbilt 579s. Principal = MIN(Opening, Payment - Interest)</t>
      </text>
    </comment>
    <comment ref="F31" authorId="0" shapeId="0">
      <text>
        <t>Loan: Paccar, 5 Peterbilt 579s. Closing = Opening - Principal</t>
      </text>
    </comment>
    <comment ref="C32" authorId="0" shapeId="0">
      <text>
        <t>Links to: Prior month closing balance row 31</t>
      </text>
    </comment>
    <comment ref="D32" authorId="0" shapeId="0">
      <text>
        <t>Loan: Paccar, 5 Peterbilt 579s. Interest = Opening * Annual Rate / 12</t>
      </text>
    </comment>
    <comment ref="E32" authorId="0" shapeId="0">
      <text>
        <t>Loan: Paccar, 5 Peterbilt 579s. Principal = MIN(Opening, Payment - Interest)</t>
      </text>
    </comment>
    <comment ref="F32" authorId="0" shapeId="0">
      <text>
        <t>Loan: Paccar, 5 Peterbilt 579s. Closing = Opening - Principal</t>
      </text>
    </comment>
    <comment ref="C33" authorId="0" shapeId="0">
      <text>
        <t>Links to: Prior month closing balance row 32</t>
      </text>
    </comment>
    <comment ref="D33" authorId="0" shapeId="0">
      <text>
        <t>Loan: Paccar, 5 Peterbilt 579s. Interest = Opening * Annual Rate / 12</t>
      </text>
    </comment>
    <comment ref="E33" authorId="0" shapeId="0">
      <text>
        <t>Loan: Paccar, 5 Peterbilt 579s. Principal = MIN(Opening, Payment - Interest)</t>
      </text>
    </comment>
    <comment ref="F33" authorId="0" shapeId="0">
      <text>
        <t>Loan: Paccar, 5 Peterbilt 579s. Closing = Opening - Principal</t>
      </text>
    </comment>
    <comment ref="C34" authorId="0" shapeId="0">
      <text>
        <t>Links to: Prior month closing balance row 33</t>
      </text>
    </comment>
    <comment ref="D34" authorId="0" shapeId="0">
      <text>
        <t>Loan: Paccar, 5 Peterbilt 579s. Interest = Opening * Annual Rate / 12</t>
      </text>
    </comment>
    <comment ref="E34" authorId="0" shapeId="0">
      <text>
        <t>Loan: Paccar, 5 Peterbilt 579s. Principal = MIN(Opening, Payment - Interest)</t>
      </text>
    </comment>
    <comment ref="F34" authorId="0" shapeId="0">
      <text>
        <t>Loan: Paccar, 5 Peterbilt 579s. Closing = Opening - Principal</t>
      </text>
    </comment>
    <comment ref="C35" authorId="0" shapeId="0">
      <text>
        <t>Links to: Prior month closing balance row 34</t>
      </text>
    </comment>
    <comment ref="D35" authorId="0" shapeId="0">
      <text>
        <t>Loan: Paccar, 5 Peterbilt 579s. Interest = Opening * Annual Rate / 12</t>
      </text>
    </comment>
    <comment ref="E35" authorId="0" shapeId="0">
      <text>
        <t>Loan: Paccar, 5 Peterbilt 579s. Principal = MIN(Opening, Payment - Interest)</t>
      </text>
    </comment>
    <comment ref="F35" authorId="0" shapeId="0">
      <text>
        <t>Loan: Paccar, 5 Peterbilt 579s. Closing = Opening - Principal</t>
      </text>
    </comment>
    <comment ref="C36" authorId="0" shapeId="0">
      <text>
        <t>Links to: Prior month closing balance row 35</t>
      </text>
    </comment>
    <comment ref="D36" authorId="0" shapeId="0">
      <text>
        <t>Loan: Paccar, 5 Peterbilt 579s. Interest = Opening * Annual Rate / 12</t>
      </text>
    </comment>
    <comment ref="E36" authorId="0" shapeId="0">
      <text>
        <t>Loan: Paccar, 5 Peterbilt 579s. Principal = MIN(Opening, Payment - Interest)</t>
      </text>
    </comment>
    <comment ref="F36" authorId="0" shapeId="0">
      <text>
        <t>Loan: Paccar, 5 Peterbilt 579s. Closing = Opening - Principal</t>
      </text>
    </comment>
    <comment ref="C37" authorId="0" shapeId="0">
      <text>
        <t>Links to: Prior month closing balance row 36</t>
      </text>
    </comment>
    <comment ref="D37" authorId="0" shapeId="0">
      <text>
        <t>Loan: Paccar, 5 Peterbilt 579s. Interest = Opening * Annual Rate / 12</t>
      </text>
    </comment>
    <comment ref="E37" authorId="0" shapeId="0">
      <text>
        <t>Loan: Paccar, 5 Peterbilt 579s. Principal = MIN(Opening, Payment - Interest)</t>
      </text>
    </comment>
    <comment ref="F37" authorId="0" shapeId="0">
      <text>
        <t>Loan: Paccar, 5 Peterbilt 579s. Closing = Opening - Principal</t>
      </text>
    </comment>
    <comment ref="C38" authorId="0" shapeId="0">
      <text>
        <t>Links to: Prior month closing balance row 37</t>
      </text>
    </comment>
    <comment ref="D38" authorId="0" shapeId="0">
      <text>
        <t>Loan: Paccar, 5 Peterbilt 579s. Interest = Opening * Annual Rate / 12</t>
      </text>
    </comment>
    <comment ref="E38" authorId="0" shapeId="0">
      <text>
        <t>Loan: Paccar, 5 Peterbilt 579s. Principal = MIN(Opening, Payment - Interest)</t>
      </text>
    </comment>
    <comment ref="F38" authorId="0" shapeId="0">
      <text>
        <t>Loan: Paccar, 5 Peterbilt 579s. Closing = Opening - Principal</t>
      </text>
    </comment>
    <comment ref="C39" authorId="0" shapeId="0">
      <text>
        <t>Links to: Prior month closing balance row 38</t>
      </text>
    </comment>
    <comment ref="D39" authorId="0" shapeId="0">
      <text>
        <t>Loan: Paccar, 5 Peterbilt 579s. Interest = Opening * Annual Rate / 12</t>
      </text>
    </comment>
    <comment ref="E39" authorId="0" shapeId="0">
      <text>
        <t>Loan: Paccar, 5 Peterbilt 579s. Principal = MIN(Opening, Payment - Interest)</t>
      </text>
    </comment>
    <comment ref="F39" authorId="0" shapeId="0">
      <text>
        <t>Loan: Paccar, 5 Peterbilt 579s. Closing = Opening - Principal</t>
      </text>
    </comment>
    <comment ref="C40" authorId="0" shapeId="0">
      <text>
        <t>Links to: Prior month closing balance row 39</t>
      </text>
    </comment>
    <comment ref="D40" authorId="0" shapeId="0">
      <text>
        <t>Loan: Paccar, 5 Peterbilt 579s. Interest = Opening * Annual Rate / 12</t>
      </text>
    </comment>
    <comment ref="E40" authorId="0" shapeId="0">
      <text>
        <t>Loan: Paccar, 5 Peterbilt 579s. Principal = MIN(Opening, Payment - Interest)</t>
      </text>
    </comment>
    <comment ref="F40" authorId="0" shapeId="0">
      <text>
        <t>Loan: Paccar, 5 Peterbilt 579s. Closing = Opening - Principal</t>
      </text>
    </comment>
    <comment ref="C41" authorId="0" shapeId="0">
      <text>
        <t>Links to: Prior month closing balance row 40</t>
      </text>
    </comment>
    <comment ref="D41" authorId="0" shapeId="0">
      <text>
        <t>Loan: Paccar, 5 Peterbilt 579s. Interest = Opening * Annual Rate / 12</t>
      </text>
    </comment>
    <comment ref="E41" authorId="0" shapeId="0">
      <text>
        <t>Loan: Paccar, 5 Peterbilt 579s. Principal = MIN(Opening, Payment - Interest)</t>
      </text>
    </comment>
    <comment ref="F41" authorId="0" shapeId="0">
      <text>
        <t>Loan: Paccar, 5 Peterbilt 579s. Closing = Opening - Principal</t>
      </text>
    </comment>
    <comment ref="C42" authorId="0" shapeId="0">
      <text>
        <t>Links to: Prior month closing balance row 41</t>
      </text>
    </comment>
    <comment ref="D42" authorId="0" shapeId="0">
      <text>
        <t>Loan: Paccar, 5 Peterbilt 579s. Interest = Opening * Annual Rate / 12</t>
      </text>
    </comment>
    <comment ref="E42" authorId="0" shapeId="0">
      <text>
        <t>Loan: Paccar, 5 Peterbilt 579s. Principal = MIN(Opening, Payment - Interest)</t>
      </text>
    </comment>
    <comment ref="F42" authorId="0" shapeId="0">
      <text>
        <t>Loan: Paccar, 5 Peterbilt 579s. Closing = Opening - Principal</t>
      </text>
    </comment>
    <comment ref="C43" authorId="0" shapeId="0">
      <text>
        <t>Links to: Prior month closing balance row 42</t>
      </text>
    </comment>
    <comment ref="D43" authorId="0" shapeId="0">
      <text>
        <t>Loan: Paccar, 5 Peterbilt 579s. Interest = Opening * Annual Rate / 12</t>
      </text>
    </comment>
    <comment ref="E43" authorId="0" shapeId="0">
      <text>
        <t>Loan: Paccar, 5 Peterbilt 579s. Principal = MIN(Opening, Payment - Interest)</t>
      </text>
    </comment>
    <comment ref="F43" authorId="0" shapeId="0">
      <text>
        <t>Loan: Paccar, 5 Peterbilt 579s. Closing = Opening - Principal</t>
      </text>
    </comment>
    <comment ref="C44" authorId="0" shapeId="0">
      <text>
        <t>Links to: Prior month closing balance row 43</t>
      </text>
    </comment>
    <comment ref="D44" authorId="0" shapeId="0">
      <text>
        <t>Loan: Paccar, 5 Peterbilt 579s. Interest = Opening * Annual Rate / 12</t>
      </text>
    </comment>
    <comment ref="E44" authorId="0" shapeId="0">
      <text>
        <t>Loan: Paccar, 5 Peterbilt 579s. Principal = MIN(Opening, Payment - Interest)</t>
      </text>
    </comment>
    <comment ref="F44" authorId="0" shapeId="0">
      <text>
        <t>Loan: Paccar, 5 Peterbilt 579s. Closing = Opening - Principal</t>
      </text>
    </comment>
    <comment ref="C45" authorId="0" shapeId="0">
      <text>
        <t>Links to: Prior month closing balance row 44</t>
      </text>
    </comment>
    <comment ref="D45" authorId="0" shapeId="0">
      <text>
        <t>Loan: Paccar, 5 Peterbilt 579s. Interest = Opening * Annual Rate / 12</t>
      </text>
    </comment>
    <comment ref="E45" authorId="0" shapeId="0">
      <text>
        <t>Loan: Paccar, 5 Peterbilt 579s. Principal = MIN(Opening, Payment - Interest)</t>
      </text>
    </comment>
    <comment ref="F45" authorId="0" shapeId="0">
      <text>
        <t>Loan: Paccar, 5 Peterbilt 579s. Closing = Opening - Principal</t>
      </text>
    </comment>
    <comment ref="C46" authorId="0" shapeId="0">
      <text>
        <t>Links to: Prior month closing balance row 45</t>
      </text>
    </comment>
    <comment ref="D46" authorId="0" shapeId="0">
      <text>
        <t>Loan: Paccar, 5 Peterbilt 579s. Interest = Opening * Annual Rate / 12</t>
      </text>
    </comment>
    <comment ref="E46" authorId="0" shapeId="0">
      <text>
        <t>Loan: Paccar, 5 Peterbilt 579s. Principal = MIN(Opening, Payment - Interest)</t>
      </text>
    </comment>
    <comment ref="F46" authorId="0" shapeId="0">
      <text>
        <t>Loan: Paccar, 5 Peterbilt 579s. Closing = Opening - Principal</t>
      </text>
    </comment>
    <comment ref="C47" authorId="0" shapeId="0">
      <text>
        <t>Links to: Prior month closing balance row 46</t>
      </text>
    </comment>
    <comment ref="D47" authorId="0" shapeId="0">
      <text>
        <t>Loan: Paccar, 5 Peterbilt 579s. Interest = Opening * Annual Rate / 12</t>
      </text>
    </comment>
    <comment ref="E47" authorId="0" shapeId="0">
      <text>
        <t>Loan: Paccar, 5 Peterbilt 579s. Principal = MIN(Opening, Payment - Interest)</t>
      </text>
    </comment>
    <comment ref="F47" authorId="0" shapeId="0">
      <text>
        <t>Loan: Paccar, 5 Peterbilt 579s. Closing = Opening - Principal</t>
      </text>
    </comment>
    <comment ref="C48" authorId="0" shapeId="0">
      <text>
        <t>Links to: Prior month closing balance row 47</t>
      </text>
    </comment>
    <comment ref="D48" authorId="0" shapeId="0">
      <text>
        <t>Loan: Paccar, 5 Peterbilt 579s. Interest = Opening * Annual Rate / 12</t>
      </text>
    </comment>
    <comment ref="E48" authorId="0" shapeId="0">
      <text>
        <t>Loan: Paccar, 5 Peterbilt 579s. Principal = MIN(Opening, Payment - Interest)</t>
      </text>
    </comment>
    <comment ref="F48" authorId="0" shapeId="0">
      <text>
        <t>Loan: Paccar, 5 Peterbilt 579s. Closing = Opening - Principal</t>
      </text>
    </comment>
    <comment ref="C49" authorId="0" shapeId="0">
      <text>
        <t>Links to: Prior month closing balance row 48</t>
      </text>
    </comment>
    <comment ref="D49" authorId="0" shapeId="0">
      <text>
        <t>Loan: Paccar, 5 Peterbilt 579s. Interest = Opening * Annual Rate / 12</t>
      </text>
    </comment>
    <comment ref="E49" authorId="0" shapeId="0">
      <text>
        <t>Loan: Paccar, 5 Peterbilt 579s. Principal = MIN(Opening, Payment - Interest)</t>
      </text>
    </comment>
    <comment ref="F49" authorId="0" shapeId="0">
      <text>
        <t>Loan: Paccar, 5 Peterbilt 579s. Closing = Opening - Principal</t>
      </text>
    </comment>
    <comment ref="C50" authorId="0" shapeId="0">
      <text>
        <t>Links to: Prior month closing balance row 49</t>
      </text>
    </comment>
    <comment ref="D50" authorId="0" shapeId="0">
      <text>
        <t>Loan: Paccar, 5 Peterbilt 579s. Interest = Opening * Annual Rate / 12</t>
      </text>
    </comment>
    <comment ref="E50" authorId="0" shapeId="0">
      <text>
        <t>Loan: Paccar, 5 Peterbilt 579s. Principal = MIN(Opening, Payment - Interest)</t>
      </text>
    </comment>
    <comment ref="F50" authorId="0" shapeId="0">
      <text>
        <t>Loan: Paccar, 5 Peterbilt 579s. Closing = Opening - Principal</t>
      </text>
    </comment>
    <comment ref="C51" authorId="0" shapeId="0">
      <text>
        <t>Links to: Prior month closing balance row 50</t>
      </text>
    </comment>
    <comment ref="D51" authorId="0" shapeId="0">
      <text>
        <t>Loan: Paccar, 5 Peterbilt 579s. Interest = Opening * Annual Rate / 12</t>
      </text>
    </comment>
    <comment ref="E51" authorId="0" shapeId="0">
      <text>
        <t>Loan: Paccar, 5 Peterbilt 579s. Principal = MIN(Opening, Payment - Interest)</t>
      </text>
    </comment>
    <comment ref="F51" authorId="0" shapeId="0">
      <text>
        <t>Loan: Paccar, 5 Peterbilt 579s. Closing = Opening - Principal</t>
      </text>
    </comment>
    <comment ref="C52" authorId="0" shapeId="0">
      <text>
        <t>Links to: Prior month closing balance row 51</t>
      </text>
    </comment>
    <comment ref="D52" authorId="0" shapeId="0">
      <text>
        <t>Loan: Paccar, 5 Peterbilt 579s. Interest = Opening * Annual Rate / 12</t>
      </text>
    </comment>
    <comment ref="E52" authorId="0" shapeId="0">
      <text>
        <t>Loan: Paccar, 5 Peterbilt 579s. Principal = MIN(Opening, Payment - Interest)</t>
      </text>
    </comment>
    <comment ref="F52" authorId="0" shapeId="0">
      <text>
        <t>Loan: Paccar, 5 Peterbilt 579s. Closing = Opening - Principal</t>
      </text>
    </comment>
    <comment ref="C53" authorId="0" shapeId="0">
      <text>
        <t>Links to: Prior month closing balance row 52</t>
      </text>
    </comment>
    <comment ref="D53" authorId="0" shapeId="0">
      <text>
        <t>Loan: Paccar, 5 Peterbilt 579s. Interest = Opening * Annual Rate / 12</t>
      </text>
    </comment>
    <comment ref="E53" authorId="0" shapeId="0">
      <text>
        <t>Loan: Paccar, 5 Peterbilt 579s. Principal = MIN(Opening, Payment - Interest)</t>
      </text>
    </comment>
    <comment ref="F53" authorId="0" shapeId="0">
      <text>
        <t>Loan: Paccar, 5 Peterbilt 579s. Closing = Opening - Principal</t>
      </text>
    </comment>
    <comment ref="C54" authorId="0" shapeId="0">
      <text>
        <t>Links to: Prior month closing balance row 53</t>
      </text>
    </comment>
    <comment ref="D54" authorId="0" shapeId="0">
      <text>
        <t>Loan: Paccar, 5 Peterbilt 579s. Interest = Opening * Annual Rate / 12</t>
      </text>
    </comment>
    <comment ref="E54" authorId="0" shapeId="0">
      <text>
        <t>Loan: Paccar, 5 Peterbilt 579s. Principal = MIN(Opening, Payment - Interest)</t>
      </text>
    </comment>
    <comment ref="F54" authorId="0" shapeId="0">
      <text>
        <t>Loan: Paccar, 5 Peterbilt 579s. Closing = Opening - Principal</t>
      </text>
    </comment>
    <comment ref="C55" authorId="0" shapeId="0">
      <text>
        <t>Links to: Prior month closing balance row 54</t>
      </text>
    </comment>
    <comment ref="D55" authorId="0" shapeId="0">
      <text>
        <t>Loan: Paccar, 5 Peterbilt 579s. Interest = Opening * Annual Rate / 12</t>
      </text>
    </comment>
    <comment ref="E55" authorId="0" shapeId="0">
      <text>
        <t>Loan: Paccar, 5 Peterbilt 579s. Principal = MIN(Opening, Payment - Interest)</t>
      </text>
    </comment>
    <comment ref="F55" authorId="0" shapeId="0">
      <text>
        <t>Loan: Paccar, 5 Peterbilt 579s. Closing = Opening - Principal</t>
      </text>
    </comment>
    <comment ref="C56" authorId="0" shapeId="0">
      <text>
        <t>Links to: Prior month closing balance row 55</t>
      </text>
    </comment>
    <comment ref="D56" authorId="0" shapeId="0">
      <text>
        <t>Loan: Paccar, 5 Peterbilt 579s. Interest = Opening * Annual Rate / 12</t>
      </text>
    </comment>
    <comment ref="E56" authorId="0" shapeId="0">
      <text>
        <t>Loan: Paccar, 5 Peterbilt 579s. Principal = MIN(Opening, Payment - Interest)</t>
      </text>
    </comment>
    <comment ref="F56" authorId="0" shapeId="0">
      <text>
        <t>Loan: Paccar, 5 Peterbilt 579s. Closing = Opening - Principal</t>
      </text>
    </comment>
    <comment ref="C57" authorId="0" shapeId="0">
      <text>
        <t>Links to: Prior month closing balance row 56</t>
      </text>
    </comment>
    <comment ref="D57" authorId="0" shapeId="0">
      <text>
        <t>Loan: Paccar, 5 Peterbilt 579s. Interest = Opening * Annual Rate / 12</t>
      </text>
    </comment>
    <comment ref="E57" authorId="0" shapeId="0">
      <text>
        <t>Loan: Paccar, 5 Peterbilt 579s. Principal = MIN(Opening, Payment - Interest)</t>
      </text>
    </comment>
    <comment ref="F57" authorId="0" shapeId="0">
      <text>
        <t>Loan: Paccar, 5 Peterbilt 579s. Closing = Opening - Principal</t>
      </text>
    </comment>
    <comment ref="C58" authorId="0" shapeId="0">
      <text>
        <t>Links to: Prior month closing balance row 57</t>
      </text>
    </comment>
    <comment ref="D58" authorId="0" shapeId="0">
      <text>
        <t>Loan: Paccar, 5 Peterbilt 579s. Interest = Opening * Annual Rate / 12</t>
      </text>
    </comment>
    <comment ref="E58" authorId="0" shapeId="0">
      <text>
        <t>Loan: Paccar, 5 Peterbilt 579s. Principal = MIN(Opening, Payment - Interest)</t>
      </text>
    </comment>
    <comment ref="F58" authorId="0" shapeId="0">
      <text>
        <t>Loan: Paccar, 5 Peterbilt 579s. Closing = Opening - Principal</t>
      </text>
    </comment>
    <comment ref="C59" authorId="0" shapeId="0">
      <text>
        <t>Links to: Prior month closing balance row 58</t>
      </text>
    </comment>
    <comment ref="D59" authorId="0" shapeId="0">
      <text>
        <t>Loan: Paccar, 5 Peterbilt 579s. Interest = Opening * Annual Rate / 12</t>
      </text>
    </comment>
    <comment ref="E59" authorId="0" shapeId="0">
      <text>
        <t>Loan: Paccar, 5 Peterbilt 579s. Principal = MIN(Opening, Payment - Interest)</t>
      </text>
    </comment>
    <comment ref="F59" authorId="0" shapeId="0">
      <text>
        <t>Loan: Paccar, 5 Peterbilt 579s. Closing = Opening - Principal</t>
      </text>
    </comment>
    <comment ref="C60" authorId="0" shapeId="0">
      <text>
        <t>Links to: Prior month closing balance row 59</t>
      </text>
    </comment>
    <comment ref="D60" authorId="0" shapeId="0">
      <text>
        <t>Loan: Paccar, 5 Peterbilt 579s. Interest = Opening * Annual Rate / 12</t>
      </text>
    </comment>
    <comment ref="E60" authorId="0" shapeId="0">
      <text>
        <t>Loan: Paccar, 5 Peterbilt 579s. Principal = MIN(Opening, Payment - Interest)</t>
      </text>
    </comment>
    <comment ref="F60" authorId="0" shapeId="0">
      <text>
        <t>Loan: Paccar, 5 Peterbilt 579s. Closing = Opening - Principal</t>
      </text>
    </comment>
    <comment ref="C61" authorId="0" shapeId="0">
      <text>
        <t>Links to: Prior month closing balance row 60</t>
      </text>
    </comment>
    <comment ref="D61" authorId="0" shapeId="0">
      <text>
        <t>Loan: Paccar, 5 Peterbilt 579s. Interest = Opening * Annual Rate / 12</t>
      </text>
    </comment>
    <comment ref="E61" authorId="0" shapeId="0">
      <text>
        <t>Loan: Paccar, 5 Peterbilt 579s. Principal = MIN(Opening, Payment - Interest)</t>
      </text>
    </comment>
    <comment ref="F61" authorId="0" shapeId="0">
      <text>
        <t>Loan: Paccar, 5 Peterbilt 579s. Closing = Opening - Principal</t>
      </text>
    </comment>
    <comment ref="C62" authorId="0" shapeId="0">
      <text>
        <t>Links to: Prior month closing balance row 61</t>
      </text>
    </comment>
    <comment ref="D62" authorId="0" shapeId="0">
      <text>
        <t>Loan: Paccar, 5 Peterbilt 579s. Interest = Opening * Annual Rate / 12</t>
      </text>
    </comment>
    <comment ref="E62" authorId="0" shapeId="0">
      <text>
        <t>Loan: Paccar, 5 Peterbilt 579s. Principal = MIN(Opening, Payment - Interest)</t>
      </text>
    </comment>
    <comment ref="F62" authorId="0" shapeId="0">
      <text>
        <t>Loan: Paccar, 5 Peterbilt 579s. Closing = Opening - Principal</t>
      </text>
    </comment>
    <comment ref="C63" authorId="0" shapeId="0">
      <text>
        <t>Links to: Prior month closing balance row 62</t>
      </text>
    </comment>
    <comment ref="D63" authorId="0" shapeId="0">
      <text>
        <t>Loan: Paccar, 5 Peterbilt 579s. Interest = Opening * Annual Rate / 12</t>
      </text>
    </comment>
    <comment ref="E63" authorId="0" shapeId="0">
      <text>
        <t>Loan: Paccar, 5 Peterbilt 579s. Principal = MIN(Opening, Payment - Interest)</t>
      </text>
    </comment>
    <comment ref="F63" authorId="0" shapeId="0">
      <text>
        <t>Loan: Paccar, 5 Peterbilt 579s. Closing = Opening - Principal</t>
      </text>
    </comment>
    <comment ref="C64" authorId="0" shapeId="0">
      <text>
        <t>Links to: Prior month closing balance row 63</t>
      </text>
    </comment>
    <comment ref="D64" authorId="0" shapeId="0">
      <text>
        <t>Loan: Paccar, 5 Peterbilt 579s. Interest = Opening * Annual Rate / 12</t>
      </text>
    </comment>
    <comment ref="E64" authorId="0" shapeId="0">
      <text>
        <t>Loan: Paccar, 5 Peterbilt 579s. Principal = MIN(Opening, Payment - Interest)</t>
      </text>
    </comment>
    <comment ref="F64" authorId="0" shapeId="0">
      <text>
        <t>Loan: Paccar, 5 Peterbilt 579s. Closing = Opening - Principal</t>
      </text>
    </comment>
    <comment ref="C65" authorId="0" shapeId="0">
      <text>
        <t>Links to: Prior month closing balance row 64</t>
      </text>
    </comment>
    <comment ref="D65" authorId="0" shapeId="0">
      <text>
        <t>Loan: Paccar, 5 Peterbilt 579s. Interest = Opening * Annual Rate / 12</t>
      </text>
    </comment>
    <comment ref="E65" authorId="0" shapeId="0">
      <text>
        <t>Loan: Paccar, 5 Peterbilt 579s. Principal = MIN(Opening, Payment - Interest)</t>
      </text>
    </comment>
    <comment ref="F65" authorId="0" shapeId="0">
      <text>
        <t>Loan: Paccar, 5 Peterbilt 579s. Closing = Opening - Principal</t>
      </text>
    </comment>
    <comment ref="C66" authorId="0" shapeId="0">
      <text>
        <t>Links to: Prior month closing balance row 65</t>
      </text>
    </comment>
    <comment ref="D66" authorId="0" shapeId="0">
      <text>
        <t>Loan: Paccar, 5 Peterbilt 579s. Interest = Opening * Annual Rate / 12</t>
      </text>
    </comment>
    <comment ref="E66" authorId="0" shapeId="0">
      <text>
        <t>Loan: Paccar, 5 Peterbilt 579s. Principal = MIN(Opening, Payment - Interest)</t>
      </text>
    </comment>
    <comment ref="F66" authorId="0" shapeId="0">
      <text>
        <t>Loan: Paccar, 5 Peterbilt 579s. Closing = Opening - Principal</t>
      </text>
    </comment>
    <comment ref="C67" authorId="0" shapeId="0">
      <text>
        <t>Links to: Prior month closing balance row 66</t>
      </text>
    </comment>
    <comment ref="D67" authorId="0" shapeId="0">
      <text>
        <t>Loan: Paccar, 5 Peterbilt 579s. Interest = Opening * Annual Rate / 12</t>
      </text>
    </comment>
    <comment ref="E67" authorId="0" shapeId="0">
      <text>
        <t>Loan: Paccar, 5 Peterbilt 579s. Principal = MIN(Opening, Payment - Interest)</t>
      </text>
    </comment>
    <comment ref="F67" authorId="0" shapeId="0">
      <text>
        <t>Loan: Paccar, 5 Peterbilt 579s. Closing = Opening - Principal</t>
      </text>
    </comment>
    <comment ref="C68" authorId="0" shapeId="0">
      <text>
        <t>Links to: Prior month closing balance row 67</t>
      </text>
    </comment>
    <comment ref="D68" authorId="0" shapeId="0">
      <text>
        <t>Loan: Paccar, 5 Peterbilt 579s. Interest = Opening * Annual Rate / 12</t>
      </text>
    </comment>
    <comment ref="E68" authorId="0" shapeId="0">
      <text>
        <t>Loan: Paccar, 5 Peterbilt 579s. Principal = MIN(Opening, Payment - Interest)</t>
      </text>
    </comment>
    <comment ref="F68" authorId="0" shapeId="0">
      <text>
        <t>Loan: Paccar, 5 Peterbilt 579s. Closing = Opening - Principal</t>
      </text>
    </comment>
    <comment ref="C69" authorId="0" shapeId="0">
      <text>
        <t>Links to: Prior month closing balance row 68</t>
      </text>
    </comment>
    <comment ref="D69" authorId="0" shapeId="0">
      <text>
        <t>Loan: Paccar, 5 Peterbilt 579s. Interest = Opening * Annual Rate / 12</t>
      </text>
    </comment>
    <comment ref="E69" authorId="0" shapeId="0">
      <text>
        <t>Loan: Paccar, 5 Peterbilt 579s. Principal = MIN(Opening, Payment - Interest)</t>
      </text>
    </comment>
    <comment ref="F69" authorId="0" shapeId="0">
      <text>
        <t>Loan: Paccar, 5 Peterbilt 579s. Closing = Opening - Principal</t>
      </text>
    </comment>
    <comment ref="C70" authorId="0" shapeId="0">
      <text>
        <t>Links to: Prior month closing balance row 69</t>
      </text>
    </comment>
    <comment ref="D70" authorId="0" shapeId="0">
      <text>
        <t>Loan: Paccar, 5 Peterbilt 579s. Interest = Opening * Annual Rate / 12</t>
      </text>
    </comment>
    <comment ref="E70" authorId="0" shapeId="0">
      <text>
        <t>Loan: Paccar, 5 Peterbilt 579s. Principal = MIN(Opening, Payment - Interest)</t>
      </text>
    </comment>
    <comment ref="F70" authorId="0" shapeId="0">
      <text>
        <t>Loan: Paccar, 5 Peterbilt 579s. Closing = Opening - Principal</t>
      </text>
    </comment>
    <comment ref="C75" authorId="0" shapeId="0">
      <text>
        <t>Sum of rows 23-34: Annual opening balance</t>
      </text>
    </comment>
    <comment ref="D75" authorId="0" shapeId="0">
      <text>
        <t>Sum of rows 23-34: Annual interest expense</t>
      </text>
    </comment>
    <comment ref="E75" authorId="0" shapeId="0">
      <text>
        <t>Sum of rows 23-34: Annual principal repayment</t>
      </text>
    </comment>
    <comment ref="F75" authorId="0" shapeId="0">
      <text>
        <t>Sum of rows 23-34: Year-end closing balance</t>
      </text>
    </comment>
    <comment ref="C76" authorId="0" shapeId="0">
      <text>
        <t>Sum of rows 35-46: Annual opening balance</t>
      </text>
    </comment>
    <comment ref="D76" authorId="0" shapeId="0">
      <text>
        <t>Sum of rows 35-46: Annual interest expense</t>
      </text>
    </comment>
    <comment ref="E76" authorId="0" shapeId="0">
      <text>
        <t>Sum of rows 35-46: Annual principal repayment</t>
      </text>
    </comment>
    <comment ref="F76" authorId="0" shapeId="0">
      <text>
        <t>Sum of rows 35-46: Year-end closing balance</t>
      </text>
    </comment>
    <comment ref="C77" authorId="0" shapeId="0">
      <text>
        <t>Sum of rows 47-58: Annual opening balance</t>
      </text>
    </comment>
    <comment ref="D77" authorId="0" shapeId="0">
      <text>
        <t>Sum of rows 47-58: Annual interest expense</t>
      </text>
    </comment>
    <comment ref="E77" authorId="0" shapeId="0">
      <text>
        <t>Sum of rows 47-58: Annual principal repayment</t>
      </text>
    </comment>
    <comment ref="F77" authorId="0" shapeId="0">
      <text>
        <t>Sum of rows 47-58: Year-end closing balance</t>
      </text>
    </comment>
    <comment ref="C78" authorId="0" shapeId="0">
      <text>
        <t>Sum of rows 59-70: Annual opening balance</t>
      </text>
    </comment>
    <comment ref="D78" authorId="0" shapeId="0">
      <text>
        <t>Sum of rows 59-70: Annual interest expense</t>
      </text>
    </comment>
    <comment ref="E78" authorId="0" shapeId="0">
      <text>
        <t>Sum of rows 59-70: Annual principal repayment</t>
      </text>
    </comment>
    <comment ref="F78" authorId="0" shapeId="0">
      <text>
        <t>Sum of rows 59-70: Year-end closing balance</t>
      </text>
    </comment>
    <comment ref="B81" authorId="0" shapeId="0">
      <text>
        <t>Links to: Year-end 2026 closing balance for Debt Schedule reference</t>
      </text>
    </comment>
  </commentList>
</comments>
</file>

<file path=xl/comments/comment32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loans.md, Paccar Loan 21
Extracted: 2026-05-14</t>
      </text>
    </comment>
    <comment ref="B6" authorId="0" shapeId="0">
      <text>
        <t>Loan: Paccar, 8 T680. Source: Meiborg_Debt_Schedule_202512.xlsx
Balance as of 12/31/2025</t>
      </text>
    </comment>
    <comment ref="B7" authorId="0" shapeId="0">
      <text>
        <t>Loan: Paccar, 8 T680. Source: Meiborg_Debt_Schedule_202512.xlsx</t>
      </text>
    </comment>
    <comment ref="B8" authorId="0" shapeId="0">
      <text>
        <t>Loan: Paccar, 8 T680. Source: Meiborg_Debt_Schedule_202512.xlsx</t>
      </text>
    </comment>
    <comment ref="C23" authorId="0" shapeId="0">
      <text>
        <t>Links to: Opening Balance input cell B6</t>
      </text>
    </comment>
    <comment ref="D23" authorId="0" shapeId="0">
      <text>
        <t>Loan: Paccar, 8 T680. Interest = Opening * Annual Rate / 12</t>
      </text>
    </comment>
    <comment ref="E23" authorId="0" shapeId="0">
      <text>
        <t>Loan: Paccar, 8 T680. Principal = MIN(Opening, Payment - Interest)</t>
      </text>
    </comment>
    <comment ref="F23" authorId="0" shapeId="0">
      <text>
        <t>Loan: Paccar, 8 T680. Closing = Opening - Principal</t>
      </text>
    </comment>
    <comment ref="C24" authorId="0" shapeId="0">
      <text>
        <t>Links to: Prior month closing balance row 23</t>
      </text>
    </comment>
    <comment ref="D24" authorId="0" shapeId="0">
      <text>
        <t>Loan: Paccar, 8 T680. Interest = Opening * Annual Rate / 12</t>
      </text>
    </comment>
    <comment ref="E24" authorId="0" shapeId="0">
      <text>
        <t>Loan: Paccar, 8 T680. Principal = MIN(Opening, Payment - Interest)</t>
      </text>
    </comment>
    <comment ref="F24" authorId="0" shapeId="0">
      <text>
        <t>Loan: Paccar, 8 T680. Closing = Opening - Principal</t>
      </text>
    </comment>
    <comment ref="C25" authorId="0" shapeId="0">
      <text>
        <t>Links to: Prior month closing balance row 24</t>
      </text>
    </comment>
    <comment ref="D25" authorId="0" shapeId="0">
      <text>
        <t>Loan: Paccar, 8 T680. Interest = Opening * Annual Rate / 12</t>
      </text>
    </comment>
    <comment ref="E25" authorId="0" shapeId="0">
      <text>
        <t>Loan: Paccar, 8 T680. Principal = MIN(Opening, Payment - Interest)</t>
      </text>
    </comment>
    <comment ref="F25" authorId="0" shapeId="0">
      <text>
        <t>Loan: Paccar, 8 T680. Closing = Opening - Principal</t>
      </text>
    </comment>
    <comment ref="C26" authorId="0" shapeId="0">
      <text>
        <t>Links to: Prior month closing balance row 25</t>
      </text>
    </comment>
    <comment ref="D26" authorId="0" shapeId="0">
      <text>
        <t>Loan: Paccar, 8 T680. Interest = Opening * Annual Rate / 12</t>
      </text>
    </comment>
    <comment ref="E26" authorId="0" shapeId="0">
      <text>
        <t>Loan: Paccar, 8 T680. Principal = MIN(Opening, Payment - Interest)</t>
      </text>
    </comment>
    <comment ref="F26" authorId="0" shapeId="0">
      <text>
        <t>Loan: Paccar, 8 T680. Closing = Opening - Principal</t>
      </text>
    </comment>
    <comment ref="C27" authorId="0" shapeId="0">
      <text>
        <t>Links to: Prior month closing balance row 26</t>
      </text>
    </comment>
    <comment ref="D27" authorId="0" shapeId="0">
      <text>
        <t>Loan: Paccar, 8 T680. Interest = Opening * Annual Rate / 12</t>
      </text>
    </comment>
    <comment ref="E27" authorId="0" shapeId="0">
      <text>
        <t>Loan: Paccar, 8 T680. Principal = MIN(Opening, Payment - Interest)</t>
      </text>
    </comment>
    <comment ref="F27" authorId="0" shapeId="0">
      <text>
        <t>Loan: Paccar, 8 T680. Closing = Opening - Principal</t>
      </text>
    </comment>
    <comment ref="C28" authorId="0" shapeId="0">
      <text>
        <t>Links to: Prior month closing balance row 27</t>
      </text>
    </comment>
    <comment ref="D28" authorId="0" shapeId="0">
      <text>
        <t>Loan: Paccar, 8 T680. Interest = Opening * Annual Rate / 12</t>
      </text>
    </comment>
    <comment ref="E28" authorId="0" shapeId="0">
      <text>
        <t>Loan: Paccar, 8 T680. Principal = MIN(Opening, Payment - Interest)</t>
      </text>
    </comment>
    <comment ref="F28" authorId="0" shapeId="0">
      <text>
        <t>Loan: Paccar, 8 T680. Closing = Opening - Principal</t>
      </text>
    </comment>
    <comment ref="C29" authorId="0" shapeId="0">
      <text>
        <t>Links to: Prior month closing balance row 28</t>
      </text>
    </comment>
    <comment ref="D29" authorId="0" shapeId="0">
      <text>
        <t>Loan: Paccar, 8 T680. Interest = Opening * Annual Rate / 12</t>
      </text>
    </comment>
    <comment ref="E29" authorId="0" shapeId="0">
      <text>
        <t>Loan: Paccar, 8 T680. Principal = MIN(Opening, Payment - Interest)</t>
      </text>
    </comment>
    <comment ref="F29" authorId="0" shapeId="0">
      <text>
        <t>Loan: Paccar, 8 T680. Closing = Opening - Principal</t>
      </text>
    </comment>
    <comment ref="C30" authorId="0" shapeId="0">
      <text>
        <t>Links to: Prior month closing balance row 29</t>
      </text>
    </comment>
    <comment ref="D30" authorId="0" shapeId="0">
      <text>
        <t>Loan: Paccar, 8 T680. Interest = Opening * Annual Rate / 12</t>
      </text>
    </comment>
    <comment ref="E30" authorId="0" shapeId="0">
      <text>
        <t>Loan: Paccar, 8 T680. Principal = MIN(Opening, Payment - Interest)</t>
      </text>
    </comment>
    <comment ref="F30" authorId="0" shapeId="0">
      <text>
        <t>Loan: Paccar, 8 T680. Closing = Opening - Principal</t>
      </text>
    </comment>
    <comment ref="C31" authorId="0" shapeId="0">
      <text>
        <t>Links to: Prior month closing balance row 30</t>
      </text>
    </comment>
    <comment ref="D31" authorId="0" shapeId="0">
      <text>
        <t>Loan: Paccar, 8 T680. Interest = Opening * Annual Rate / 12</t>
      </text>
    </comment>
    <comment ref="E31" authorId="0" shapeId="0">
      <text>
        <t>Loan: Paccar, 8 T680. Principal = MIN(Opening, Payment - Interest)</t>
      </text>
    </comment>
    <comment ref="F31" authorId="0" shapeId="0">
      <text>
        <t>Loan: Paccar, 8 T680. Closing = Opening - Principal</t>
      </text>
    </comment>
    <comment ref="C32" authorId="0" shapeId="0">
      <text>
        <t>Links to: Prior month closing balance row 31</t>
      </text>
    </comment>
    <comment ref="D32" authorId="0" shapeId="0">
      <text>
        <t>Loan: Paccar, 8 T680. Interest = Opening * Annual Rate / 12</t>
      </text>
    </comment>
    <comment ref="E32" authorId="0" shapeId="0">
      <text>
        <t>Loan: Paccar, 8 T680. Principal = MIN(Opening, Payment - Interest)</t>
      </text>
    </comment>
    <comment ref="F32" authorId="0" shapeId="0">
      <text>
        <t>Loan: Paccar, 8 T680. Closing = Opening - Principal</t>
      </text>
    </comment>
    <comment ref="C33" authorId="0" shapeId="0">
      <text>
        <t>Links to: Prior month closing balance row 32</t>
      </text>
    </comment>
    <comment ref="D33" authorId="0" shapeId="0">
      <text>
        <t>Loan: Paccar, 8 T680. Interest = Opening * Annual Rate / 12</t>
      </text>
    </comment>
    <comment ref="E33" authorId="0" shapeId="0">
      <text>
        <t>Loan: Paccar, 8 T680. Principal = MIN(Opening, Payment - Interest)</t>
      </text>
    </comment>
    <comment ref="F33" authorId="0" shapeId="0">
      <text>
        <t>Loan: Paccar, 8 T680. Closing = Opening - Principal</t>
      </text>
    </comment>
    <comment ref="C34" authorId="0" shapeId="0">
      <text>
        <t>Links to: Prior month closing balance row 33</t>
      </text>
    </comment>
    <comment ref="D34" authorId="0" shapeId="0">
      <text>
        <t>Loan: Paccar, 8 T680. Interest = Opening * Annual Rate / 12</t>
      </text>
    </comment>
    <comment ref="E34" authorId="0" shapeId="0">
      <text>
        <t>Loan: Paccar, 8 T680. Principal = MIN(Opening, Payment - Interest)</t>
      </text>
    </comment>
    <comment ref="F34" authorId="0" shapeId="0">
      <text>
        <t>Loan: Paccar, 8 T680. Closing = Opening - Principal</t>
      </text>
    </comment>
    <comment ref="C35" authorId="0" shapeId="0">
      <text>
        <t>Links to: Prior month closing balance row 34</t>
      </text>
    </comment>
    <comment ref="D35" authorId="0" shapeId="0">
      <text>
        <t>Loan: Paccar, 8 T680. Interest = Opening * Annual Rate / 12</t>
      </text>
    </comment>
    <comment ref="E35" authorId="0" shapeId="0">
      <text>
        <t>Loan: Paccar, 8 T680. Principal = MIN(Opening, Payment - Interest)</t>
      </text>
    </comment>
    <comment ref="F35" authorId="0" shapeId="0">
      <text>
        <t>Loan: Paccar, 8 T680. Closing = Opening - Principal</t>
      </text>
    </comment>
    <comment ref="C36" authorId="0" shapeId="0">
      <text>
        <t>Links to: Prior month closing balance row 35</t>
      </text>
    </comment>
    <comment ref="D36" authorId="0" shapeId="0">
      <text>
        <t>Loan: Paccar, 8 T680. Interest = Opening * Annual Rate / 12</t>
      </text>
    </comment>
    <comment ref="E36" authorId="0" shapeId="0">
      <text>
        <t>Loan: Paccar, 8 T680. Principal = MIN(Opening, Payment - Interest)</t>
      </text>
    </comment>
    <comment ref="F36" authorId="0" shapeId="0">
      <text>
        <t>Loan: Paccar, 8 T680. Closing = Opening - Principal</t>
      </text>
    </comment>
    <comment ref="C37" authorId="0" shapeId="0">
      <text>
        <t>Links to: Prior month closing balance row 36</t>
      </text>
    </comment>
    <comment ref="D37" authorId="0" shapeId="0">
      <text>
        <t>Loan: Paccar, 8 T680. Interest = Opening * Annual Rate / 12</t>
      </text>
    </comment>
    <comment ref="E37" authorId="0" shapeId="0">
      <text>
        <t>Loan: Paccar, 8 T680. Principal = MIN(Opening, Payment - Interest)</t>
      </text>
    </comment>
    <comment ref="F37" authorId="0" shapeId="0">
      <text>
        <t>Loan: Paccar, 8 T680. Closing = Opening - Principal</t>
      </text>
    </comment>
    <comment ref="C38" authorId="0" shapeId="0">
      <text>
        <t>Links to: Prior month closing balance row 37</t>
      </text>
    </comment>
    <comment ref="D38" authorId="0" shapeId="0">
      <text>
        <t>Loan: Paccar, 8 T680. Interest = Opening * Annual Rate / 12</t>
      </text>
    </comment>
    <comment ref="E38" authorId="0" shapeId="0">
      <text>
        <t>Loan: Paccar, 8 T680. Principal = MIN(Opening, Payment - Interest)</t>
      </text>
    </comment>
    <comment ref="F38" authorId="0" shapeId="0">
      <text>
        <t>Loan: Paccar, 8 T680. Closing = Opening - Principal</t>
      </text>
    </comment>
    <comment ref="C39" authorId="0" shapeId="0">
      <text>
        <t>Links to: Prior month closing balance row 38</t>
      </text>
    </comment>
    <comment ref="D39" authorId="0" shapeId="0">
      <text>
        <t>Loan: Paccar, 8 T680. Interest = Opening * Annual Rate / 12</t>
      </text>
    </comment>
    <comment ref="E39" authorId="0" shapeId="0">
      <text>
        <t>Loan: Paccar, 8 T680. Principal = MIN(Opening, Payment - Interest)</t>
      </text>
    </comment>
    <comment ref="F39" authorId="0" shapeId="0">
      <text>
        <t>Loan: Paccar, 8 T680. Closing = Opening - Principal</t>
      </text>
    </comment>
    <comment ref="C40" authorId="0" shapeId="0">
      <text>
        <t>Links to: Prior month closing balance row 39</t>
      </text>
    </comment>
    <comment ref="D40" authorId="0" shapeId="0">
      <text>
        <t>Loan: Paccar, 8 T680. Interest = Opening * Annual Rate / 12</t>
      </text>
    </comment>
    <comment ref="E40" authorId="0" shapeId="0">
      <text>
        <t>Loan: Paccar, 8 T680. Principal = MIN(Opening, Payment - Interest)</t>
      </text>
    </comment>
    <comment ref="F40" authorId="0" shapeId="0">
      <text>
        <t>Loan: Paccar, 8 T680. Closing = Opening - Principal</t>
      </text>
    </comment>
    <comment ref="C41" authorId="0" shapeId="0">
      <text>
        <t>Links to: Prior month closing balance row 40</t>
      </text>
    </comment>
    <comment ref="D41" authorId="0" shapeId="0">
      <text>
        <t>Loan: Paccar, 8 T680. Interest = Opening * Annual Rate / 12</t>
      </text>
    </comment>
    <comment ref="E41" authorId="0" shapeId="0">
      <text>
        <t>Loan: Paccar, 8 T680. Principal = MIN(Opening, Payment - Interest)</t>
      </text>
    </comment>
    <comment ref="F41" authorId="0" shapeId="0">
      <text>
        <t>Loan: Paccar, 8 T680. Closing = Opening - Principal</t>
      </text>
    </comment>
    <comment ref="C42" authorId="0" shapeId="0">
      <text>
        <t>Links to: Prior month closing balance row 41</t>
      </text>
    </comment>
    <comment ref="D42" authorId="0" shapeId="0">
      <text>
        <t>Loan: Paccar, 8 T680. Interest = Opening * Annual Rate / 12</t>
      </text>
    </comment>
    <comment ref="E42" authorId="0" shapeId="0">
      <text>
        <t>Loan: Paccar, 8 T680. Principal = MIN(Opening, Payment - Interest)</t>
      </text>
    </comment>
    <comment ref="F42" authorId="0" shapeId="0">
      <text>
        <t>Loan: Paccar, 8 T680. Closing = Opening - Principal</t>
      </text>
    </comment>
    <comment ref="C43" authorId="0" shapeId="0">
      <text>
        <t>Links to: Prior month closing balance row 42</t>
      </text>
    </comment>
    <comment ref="D43" authorId="0" shapeId="0">
      <text>
        <t>Loan: Paccar, 8 T680. Interest = Opening * Annual Rate / 12</t>
      </text>
    </comment>
    <comment ref="E43" authorId="0" shapeId="0">
      <text>
        <t>Loan: Paccar, 8 T680. Principal = MIN(Opening, Payment - Interest)</t>
      </text>
    </comment>
    <comment ref="F43" authorId="0" shapeId="0">
      <text>
        <t>Loan: Paccar, 8 T680. Closing = Opening - Principal</t>
      </text>
    </comment>
    <comment ref="C44" authorId="0" shapeId="0">
      <text>
        <t>Links to: Prior month closing balance row 43</t>
      </text>
    </comment>
    <comment ref="D44" authorId="0" shapeId="0">
      <text>
        <t>Loan: Paccar, 8 T680. Interest = Opening * Annual Rate / 12</t>
      </text>
    </comment>
    <comment ref="E44" authorId="0" shapeId="0">
      <text>
        <t>Loan: Paccar, 8 T680. Principal = MIN(Opening, Payment - Interest)</t>
      </text>
    </comment>
    <comment ref="F44" authorId="0" shapeId="0">
      <text>
        <t>Loan: Paccar, 8 T680. Closing = Opening - Principal</t>
      </text>
    </comment>
    <comment ref="C45" authorId="0" shapeId="0">
      <text>
        <t>Links to: Prior month closing balance row 44</t>
      </text>
    </comment>
    <comment ref="D45" authorId="0" shapeId="0">
      <text>
        <t>Loan: Paccar, 8 T680. Interest = Opening * Annual Rate / 12</t>
      </text>
    </comment>
    <comment ref="E45" authorId="0" shapeId="0">
      <text>
        <t>Loan: Paccar, 8 T680. Principal = MIN(Opening, Payment - Interest)</t>
      </text>
    </comment>
    <comment ref="F45" authorId="0" shapeId="0">
      <text>
        <t>Loan: Paccar, 8 T680. Closing = Opening - Principal</t>
      </text>
    </comment>
    <comment ref="C46" authorId="0" shapeId="0">
      <text>
        <t>Links to: Prior month closing balance row 45</t>
      </text>
    </comment>
    <comment ref="D46" authorId="0" shapeId="0">
      <text>
        <t>Loan: Paccar, 8 T680. Interest = Opening * Annual Rate / 12</t>
      </text>
    </comment>
    <comment ref="E46" authorId="0" shapeId="0">
      <text>
        <t>Loan: Paccar, 8 T680. Principal = MIN(Opening, Payment - Interest)</t>
      </text>
    </comment>
    <comment ref="F46" authorId="0" shapeId="0">
      <text>
        <t>Loan: Paccar, 8 T680. Closing = Opening - Principal</t>
      </text>
    </comment>
    <comment ref="C47" authorId="0" shapeId="0">
      <text>
        <t>Links to: Prior month closing balance row 46</t>
      </text>
    </comment>
    <comment ref="D47" authorId="0" shapeId="0">
      <text>
        <t>Loan: Paccar, 8 T680. Interest = Opening * Annual Rate / 12</t>
      </text>
    </comment>
    <comment ref="E47" authorId="0" shapeId="0">
      <text>
        <t>Loan: Paccar, 8 T680. Principal = MIN(Opening, Payment - Interest)</t>
      </text>
    </comment>
    <comment ref="F47" authorId="0" shapeId="0">
      <text>
        <t>Loan: Paccar, 8 T680. Closing = Opening - Principal</t>
      </text>
    </comment>
    <comment ref="C48" authorId="0" shapeId="0">
      <text>
        <t>Links to: Prior month closing balance row 47</t>
      </text>
    </comment>
    <comment ref="D48" authorId="0" shapeId="0">
      <text>
        <t>Loan: Paccar, 8 T680. Interest = Opening * Annual Rate / 12</t>
      </text>
    </comment>
    <comment ref="E48" authorId="0" shapeId="0">
      <text>
        <t>Loan: Paccar, 8 T680. Principal = MIN(Opening, Payment - Interest)</t>
      </text>
    </comment>
    <comment ref="F48" authorId="0" shapeId="0">
      <text>
        <t>Loan: Paccar, 8 T680. Closing = Opening - Principal</t>
      </text>
    </comment>
    <comment ref="C49" authorId="0" shapeId="0">
      <text>
        <t>Links to: Prior month closing balance row 48</t>
      </text>
    </comment>
    <comment ref="D49" authorId="0" shapeId="0">
      <text>
        <t>Loan: Paccar, 8 T680. Interest = Opening * Annual Rate / 12</t>
      </text>
    </comment>
    <comment ref="E49" authorId="0" shapeId="0">
      <text>
        <t>Loan: Paccar, 8 T680. Principal = MIN(Opening, Payment - Interest)</t>
      </text>
    </comment>
    <comment ref="F49" authorId="0" shapeId="0">
      <text>
        <t>Loan: Paccar, 8 T680. Closing = Opening - Principal</t>
      </text>
    </comment>
    <comment ref="C50" authorId="0" shapeId="0">
      <text>
        <t>Links to: Prior month closing balance row 49</t>
      </text>
    </comment>
    <comment ref="D50" authorId="0" shapeId="0">
      <text>
        <t>Loan: Paccar, 8 T680. Interest = Opening * Annual Rate / 12</t>
      </text>
    </comment>
    <comment ref="E50" authorId="0" shapeId="0">
      <text>
        <t>Loan: Paccar, 8 T680. Principal = MIN(Opening, Payment - Interest)</t>
      </text>
    </comment>
    <comment ref="F50" authorId="0" shapeId="0">
      <text>
        <t>Loan: Paccar, 8 T680. Closing = Opening - Principal</t>
      </text>
    </comment>
    <comment ref="C51" authorId="0" shapeId="0">
      <text>
        <t>Links to: Prior month closing balance row 50</t>
      </text>
    </comment>
    <comment ref="D51" authorId="0" shapeId="0">
      <text>
        <t>Loan: Paccar, 8 T680. Interest = Opening * Annual Rate / 12</t>
      </text>
    </comment>
    <comment ref="E51" authorId="0" shapeId="0">
      <text>
        <t>Loan: Paccar, 8 T680. Principal = MIN(Opening, Payment - Interest)</t>
      </text>
    </comment>
    <comment ref="F51" authorId="0" shapeId="0">
      <text>
        <t>Loan: Paccar, 8 T680. Closing = Opening - Principal</t>
      </text>
    </comment>
    <comment ref="C52" authorId="0" shapeId="0">
      <text>
        <t>Links to: Prior month closing balance row 51</t>
      </text>
    </comment>
    <comment ref="D52" authorId="0" shapeId="0">
      <text>
        <t>Loan: Paccar, 8 T680. Interest = Opening * Annual Rate / 12</t>
      </text>
    </comment>
    <comment ref="E52" authorId="0" shapeId="0">
      <text>
        <t>Loan: Paccar, 8 T680. Principal = MIN(Opening, Payment - Interest)</t>
      </text>
    </comment>
    <comment ref="F52" authorId="0" shapeId="0">
      <text>
        <t>Loan: Paccar, 8 T680. Closing = Opening - Principal</t>
      </text>
    </comment>
    <comment ref="C53" authorId="0" shapeId="0">
      <text>
        <t>Links to: Prior month closing balance row 52</t>
      </text>
    </comment>
    <comment ref="D53" authorId="0" shapeId="0">
      <text>
        <t>Loan: Paccar, 8 T680. Interest = Opening * Annual Rate / 12</t>
      </text>
    </comment>
    <comment ref="E53" authorId="0" shapeId="0">
      <text>
        <t>Loan: Paccar, 8 T680. Principal = MIN(Opening, Payment - Interest)</t>
      </text>
    </comment>
    <comment ref="F53" authorId="0" shapeId="0">
      <text>
        <t>Loan: Paccar, 8 T680. Closing = Opening - Principal</t>
      </text>
    </comment>
    <comment ref="C54" authorId="0" shapeId="0">
      <text>
        <t>Links to: Prior month closing balance row 53</t>
      </text>
    </comment>
    <comment ref="D54" authorId="0" shapeId="0">
      <text>
        <t>Loan: Paccar, 8 T680. Interest = Opening * Annual Rate / 12</t>
      </text>
    </comment>
    <comment ref="E54" authorId="0" shapeId="0">
      <text>
        <t>Loan: Paccar, 8 T680. Principal = MIN(Opening, Payment - Interest)</t>
      </text>
    </comment>
    <comment ref="F54" authorId="0" shapeId="0">
      <text>
        <t>Loan: Paccar, 8 T680. Closing = Opening - Principal</t>
      </text>
    </comment>
    <comment ref="C55" authorId="0" shapeId="0">
      <text>
        <t>Links to: Prior month closing balance row 54</t>
      </text>
    </comment>
    <comment ref="D55" authorId="0" shapeId="0">
      <text>
        <t>Loan: Paccar, 8 T680. Interest = Opening * Annual Rate / 12</t>
      </text>
    </comment>
    <comment ref="E55" authorId="0" shapeId="0">
      <text>
        <t>Loan: Paccar, 8 T680. Principal = MIN(Opening, Payment - Interest)</t>
      </text>
    </comment>
    <comment ref="F55" authorId="0" shapeId="0">
      <text>
        <t>Loan: Paccar, 8 T680. Closing = Opening - Principal</t>
      </text>
    </comment>
    <comment ref="C56" authorId="0" shapeId="0">
      <text>
        <t>Links to: Prior month closing balance row 55</t>
      </text>
    </comment>
    <comment ref="D56" authorId="0" shapeId="0">
      <text>
        <t>Loan: Paccar, 8 T680. Interest = Opening * Annual Rate / 12</t>
      </text>
    </comment>
    <comment ref="E56" authorId="0" shapeId="0">
      <text>
        <t>Loan: Paccar, 8 T680. Principal = MIN(Opening, Payment - Interest)</t>
      </text>
    </comment>
    <comment ref="F56" authorId="0" shapeId="0">
      <text>
        <t>Loan: Paccar, 8 T680. Closing = Opening - Principal</t>
      </text>
    </comment>
    <comment ref="C57" authorId="0" shapeId="0">
      <text>
        <t>Links to: Prior month closing balance row 56</t>
      </text>
    </comment>
    <comment ref="D57" authorId="0" shapeId="0">
      <text>
        <t>Loan: Paccar, 8 T680. Interest = Opening * Annual Rate / 12</t>
      </text>
    </comment>
    <comment ref="E57" authorId="0" shapeId="0">
      <text>
        <t>Loan: Paccar, 8 T680. Principal = MIN(Opening, Payment - Interest)</t>
      </text>
    </comment>
    <comment ref="F57" authorId="0" shapeId="0">
      <text>
        <t>Loan: Paccar, 8 T680. Closing = Opening - Principal</t>
      </text>
    </comment>
    <comment ref="C58" authorId="0" shapeId="0">
      <text>
        <t>Links to: Prior month closing balance row 57</t>
      </text>
    </comment>
    <comment ref="D58" authorId="0" shapeId="0">
      <text>
        <t>Loan: Paccar, 8 T680. Interest = Opening * Annual Rate / 12</t>
      </text>
    </comment>
    <comment ref="E58" authorId="0" shapeId="0">
      <text>
        <t>Loan: Paccar, 8 T680. Principal = MIN(Opening, Payment - Interest)</t>
      </text>
    </comment>
    <comment ref="F58" authorId="0" shapeId="0">
      <text>
        <t>Loan: Paccar, 8 T680. Closing = Opening - Principal</t>
      </text>
    </comment>
    <comment ref="C59" authorId="0" shapeId="0">
      <text>
        <t>Links to: Prior month closing balance row 58</t>
      </text>
    </comment>
    <comment ref="D59" authorId="0" shapeId="0">
      <text>
        <t>Loan: Paccar, 8 T680. Interest = Opening * Annual Rate / 12</t>
      </text>
    </comment>
    <comment ref="E59" authorId="0" shapeId="0">
      <text>
        <t>Loan: Paccar, 8 T680. Principal = MIN(Opening, Payment - Interest)</t>
      </text>
    </comment>
    <comment ref="F59" authorId="0" shapeId="0">
      <text>
        <t>Loan: Paccar, 8 T680. Closing = Opening - Principal</t>
      </text>
    </comment>
    <comment ref="C60" authorId="0" shapeId="0">
      <text>
        <t>Links to: Prior month closing balance row 59</t>
      </text>
    </comment>
    <comment ref="D60" authorId="0" shapeId="0">
      <text>
        <t>Loan: Paccar, 8 T680. Interest = Opening * Annual Rate / 12</t>
      </text>
    </comment>
    <comment ref="E60" authorId="0" shapeId="0">
      <text>
        <t>Loan: Paccar, 8 T680. Principal = MIN(Opening, Payment - Interest)</t>
      </text>
    </comment>
    <comment ref="F60" authorId="0" shapeId="0">
      <text>
        <t>Loan: Paccar, 8 T680. Closing = Opening - Principal</t>
      </text>
    </comment>
    <comment ref="C61" authorId="0" shapeId="0">
      <text>
        <t>Links to: Prior month closing balance row 60</t>
      </text>
    </comment>
    <comment ref="D61" authorId="0" shapeId="0">
      <text>
        <t>Loan: Paccar, 8 T680. Interest = Opening * Annual Rate / 12</t>
      </text>
    </comment>
    <comment ref="E61" authorId="0" shapeId="0">
      <text>
        <t>Loan: Paccar, 8 T680. Principal = MIN(Opening, Payment - Interest)</t>
      </text>
    </comment>
    <comment ref="F61" authorId="0" shapeId="0">
      <text>
        <t>Loan: Paccar, 8 T680. Closing = Opening - Principal</t>
      </text>
    </comment>
    <comment ref="C62" authorId="0" shapeId="0">
      <text>
        <t>Links to: Prior month closing balance row 61</t>
      </text>
    </comment>
    <comment ref="D62" authorId="0" shapeId="0">
      <text>
        <t>Loan: Paccar, 8 T680. Interest = Opening * Annual Rate / 12</t>
      </text>
    </comment>
    <comment ref="E62" authorId="0" shapeId="0">
      <text>
        <t>Loan: Paccar, 8 T680. Principal = MIN(Opening, Payment - Interest)</t>
      </text>
    </comment>
    <comment ref="F62" authorId="0" shapeId="0">
      <text>
        <t>Loan: Paccar, 8 T680. Closing = Opening - Principal</t>
      </text>
    </comment>
    <comment ref="C63" authorId="0" shapeId="0">
      <text>
        <t>Links to: Prior month closing balance row 62</t>
      </text>
    </comment>
    <comment ref="D63" authorId="0" shapeId="0">
      <text>
        <t>Loan: Paccar, 8 T680. Interest = Opening * Annual Rate / 12</t>
      </text>
    </comment>
    <comment ref="E63" authorId="0" shapeId="0">
      <text>
        <t>Loan: Paccar, 8 T680. Principal = MIN(Opening, Payment - Interest)</t>
      </text>
    </comment>
    <comment ref="F63" authorId="0" shapeId="0">
      <text>
        <t>Loan: Paccar, 8 T680. Closing = Opening - Principal</t>
      </text>
    </comment>
    <comment ref="C64" authorId="0" shapeId="0">
      <text>
        <t>Links to: Prior month closing balance row 63</t>
      </text>
    </comment>
    <comment ref="D64" authorId="0" shapeId="0">
      <text>
        <t>Loan: Paccar, 8 T680. Interest = Opening * Annual Rate / 12</t>
      </text>
    </comment>
    <comment ref="E64" authorId="0" shapeId="0">
      <text>
        <t>Loan: Paccar, 8 T680. Principal = MIN(Opening, Payment - Interest)</t>
      </text>
    </comment>
    <comment ref="F64" authorId="0" shapeId="0">
      <text>
        <t>Loan: Paccar, 8 T680. Closing = Opening - Principal</t>
      </text>
    </comment>
    <comment ref="C65" authorId="0" shapeId="0">
      <text>
        <t>Links to: Prior month closing balance row 64</t>
      </text>
    </comment>
    <comment ref="D65" authorId="0" shapeId="0">
      <text>
        <t>Loan: Paccar, 8 T680. Interest = Opening * Annual Rate / 12</t>
      </text>
    </comment>
    <comment ref="E65" authorId="0" shapeId="0">
      <text>
        <t>Loan: Paccar, 8 T680. Principal = MIN(Opening, Payment - Interest)</t>
      </text>
    </comment>
    <comment ref="F65" authorId="0" shapeId="0">
      <text>
        <t>Loan: Paccar, 8 T680. Closing = Opening - Principal</t>
      </text>
    </comment>
    <comment ref="C66" authorId="0" shapeId="0">
      <text>
        <t>Links to: Prior month closing balance row 65</t>
      </text>
    </comment>
    <comment ref="D66" authorId="0" shapeId="0">
      <text>
        <t>Loan: Paccar, 8 T680. Interest = Opening * Annual Rate / 12</t>
      </text>
    </comment>
    <comment ref="E66" authorId="0" shapeId="0">
      <text>
        <t>Loan: Paccar, 8 T680. Principal = MIN(Opening, Payment - Interest)</t>
      </text>
    </comment>
    <comment ref="F66" authorId="0" shapeId="0">
      <text>
        <t>Loan: Paccar, 8 T680. Closing = Opening - Principal</t>
      </text>
    </comment>
    <comment ref="C67" authorId="0" shapeId="0">
      <text>
        <t>Links to: Prior month closing balance row 66</t>
      </text>
    </comment>
    <comment ref="D67" authorId="0" shapeId="0">
      <text>
        <t>Loan: Paccar, 8 T680. Interest = Opening * Annual Rate / 12</t>
      </text>
    </comment>
    <comment ref="E67" authorId="0" shapeId="0">
      <text>
        <t>Loan: Paccar, 8 T680. Principal = MIN(Opening, Payment - Interest)</t>
      </text>
    </comment>
    <comment ref="F67" authorId="0" shapeId="0">
      <text>
        <t>Loan: Paccar, 8 T680. Closing = Opening - Principal</t>
      </text>
    </comment>
    <comment ref="C68" authorId="0" shapeId="0">
      <text>
        <t>Links to: Prior month closing balance row 67</t>
      </text>
    </comment>
    <comment ref="D68" authorId="0" shapeId="0">
      <text>
        <t>Loan: Paccar, 8 T680. Interest = Opening * Annual Rate / 12</t>
      </text>
    </comment>
    <comment ref="E68" authorId="0" shapeId="0">
      <text>
        <t>Loan: Paccar, 8 T680. Principal = MIN(Opening, Payment - Interest)</t>
      </text>
    </comment>
    <comment ref="F68" authorId="0" shapeId="0">
      <text>
        <t>Loan: Paccar, 8 T680. Closing = Opening - Principal</t>
      </text>
    </comment>
    <comment ref="C69" authorId="0" shapeId="0">
      <text>
        <t>Links to: Prior month closing balance row 68</t>
      </text>
    </comment>
    <comment ref="D69" authorId="0" shapeId="0">
      <text>
        <t>Loan: Paccar, 8 T680. Interest = Opening * Annual Rate / 12</t>
      </text>
    </comment>
    <comment ref="E69" authorId="0" shapeId="0">
      <text>
        <t>Loan: Paccar, 8 T680. Principal = MIN(Opening, Payment - Interest)</t>
      </text>
    </comment>
    <comment ref="F69" authorId="0" shapeId="0">
      <text>
        <t>Loan: Paccar, 8 T680. Closing = Opening - Principal</t>
      </text>
    </comment>
    <comment ref="C70" authorId="0" shapeId="0">
      <text>
        <t>Links to: Prior month closing balance row 69</t>
      </text>
    </comment>
    <comment ref="D70" authorId="0" shapeId="0">
      <text>
        <t>Loan: Paccar, 8 T680. Interest = Opening * Annual Rate / 12</t>
      </text>
    </comment>
    <comment ref="E70" authorId="0" shapeId="0">
      <text>
        <t>Loan: Paccar, 8 T680. Principal = MIN(Opening, Payment - Interest)</t>
      </text>
    </comment>
    <comment ref="F70" authorId="0" shapeId="0">
      <text>
        <t>Loan: Paccar, 8 T680. Closing = Opening - Principal</t>
      </text>
    </comment>
    <comment ref="C71" authorId="0" shapeId="0">
      <text>
        <t>Links to: Prior month closing balance row 70</t>
      </text>
    </comment>
    <comment ref="D71" authorId="0" shapeId="0">
      <text>
        <t>Loan: Paccar, 8 T680. Interest = Opening * Annual Rate / 12</t>
      </text>
    </comment>
    <comment ref="E71" authorId="0" shapeId="0">
      <text>
        <t>Loan: Paccar, 8 T680. Principal = MIN(Opening, Payment - Interest)</t>
      </text>
    </comment>
    <comment ref="F71" authorId="0" shapeId="0">
      <text>
        <t>Loan: Paccar, 8 T680. Closing = Opening - Principal</t>
      </text>
    </comment>
    <comment ref="C76" authorId="0" shapeId="0">
      <text>
        <t>Sum of rows 23-34: Annual opening balance</t>
      </text>
    </comment>
    <comment ref="D76" authorId="0" shapeId="0">
      <text>
        <t>Sum of rows 23-34: Annual interest expense</t>
      </text>
    </comment>
    <comment ref="E76" authorId="0" shapeId="0">
      <text>
        <t>Sum of rows 23-34: Annual principal repayment</t>
      </text>
    </comment>
    <comment ref="F76" authorId="0" shapeId="0">
      <text>
        <t>Sum of rows 23-34: Year-end closing balance</t>
      </text>
    </comment>
    <comment ref="C77" authorId="0" shapeId="0">
      <text>
        <t>Sum of rows 35-46: Annual opening balance</t>
      </text>
    </comment>
    <comment ref="D77" authorId="0" shapeId="0">
      <text>
        <t>Sum of rows 35-46: Annual interest expense</t>
      </text>
    </comment>
    <comment ref="E77" authorId="0" shapeId="0">
      <text>
        <t>Sum of rows 35-46: Annual principal repayment</t>
      </text>
    </comment>
    <comment ref="F77" authorId="0" shapeId="0">
      <text>
        <t>Sum of rows 35-46: Year-end closing balance</t>
      </text>
    </comment>
    <comment ref="C78" authorId="0" shapeId="0">
      <text>
        <t>Sum of rows 47-58: Annual opening balance</t>
      </text>
    </comment>
    <comment ref="D78" authorId="0" shapeId="0">
      <text>
        <t>Sum of rows 47-58: Annual interest expense</t>
      </text>
    </comment>
    <comment ref="E78" authorId="0" shapeId="0">
      <text>
        <t>Sum of rows 47-58: Annual principal repayment</t>
      </text>
    </comment>
    <comment ref="F78" authorId="0" shapeId="0">
      <text>
        <t>Sum of rows 47-58: Year-end closing balance</t>
      </text>
    </comment>
    <comment ref="C79" authorId="0" shapeId="0">
      <text>
        <t>Sum of rows 59-70: Annual opening balance</t>
      </text>
    </comment>
    <comment ref="D79" authorId="0" shapeId="0">
      <text>
        <t>Sum of rows 59-70: Annual interest expense</t>
      </text>
    </comment>
    <comment ref="E79" authorId="0" shapeId="0">
      <text>
        <t>Sum of rows 59-70: Annual principal repayment</t>
      </text>
    </comment>
    <comment ref="F79" authorId="0" shapeId="0">
      <text>
        <t>Sum of rows 59-70: Year-end closing balance</t>
      </text>
    </comment>
    <comment ref="C80" authorId="0" shapeId="0">
      <text>
        <t>Sum of rows 71-71: Annual opening balance</t>
      </text>
    </comment>
    <comment ref="D80" authorId="0" shapeId="0">
      <text>
        <t>Sum of rows 71-71: Annual interest expense</t>
      </text>
    </comment>
    <comment ref="E80" authorId="0" shapeId="0">
      <text>
        <t>Sum of rows 71-71: Annual principal repayment</t>
      </text>
    </comment>
    <comment ref="F80" authorId="0" shapeId="0">
      <text>
        <t>Sum of rows 71-71: Year-end closing balance</t>
      </text>
    </comment>
    <comment ref="B83" authorId="0" shapeId="0">
      <text>
        <t>Links to: Year-end 2026 closing balance for Debt Schedule reference</t>
      </text>
    </comment>
  </commentList>
</comments>
</file>

<file path=xl/comments/comment33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loans.md, Paccar Loan 22
Extracted: 2026-05-14</t>
      </text>
    </comment>
    <comment ref="B6" authorId="0" shapeId="0">
      <text>
        <t>Loan: Paccar, 5 Peterbilt 579s. Source: Meiborg_Debt_Schedule_202512.xlsx
Balance as of 12/31/2025</t>
      </text>
    </comment>
    <comment ref="B7" authorId="0" shapeId="0">
      <text>
        <t>Loan: Paccar, 5 Peterbilt 579s. Source: Meiborg_Debt_Schedule_202512.xlsx</t>
      </text>
    </comment>
    <comment ref="B8" authorId="0" shapeId="0">
      <text>
        <t>Loan: Paccar, 5 Peterbilt 579s. Source: Meiborg_Debt_Schedule_202512.xlsx</t>
      </text>
    </comment>
    <comment ref="C23" authorId="0" shapeId="0">
      <text>
        <t>Links to: Opening Balance input cell B6</t>
      </text>
    </comment>
    <comment ref="D23" authorId="0" shapeId="0">
      <text>
        <t>Loan: Paccar, 5 Peterbilt 579s. Interest = Opening * Annual Rate / 12</t>
      </text>
    </comment>
    <comment ref="E23" authorId="0" shapeId="0">
      <text>
        <t>Loan: Paccar, 5 Peterbilt 579s. Principal = MIN(Opening, Payment - Interest)</t>
      </text>
    </comment>
    <comment ref="F23" authorId="0" shapeId="0">
      <text>
        <t>Loan: Paccar, 5 Peterbilt 579s. Closing = Opening - Principal</t>
      </text>
    </comment>
    <comment ref="C24" authorId="0" shapeId="0">
      <text>
        <t>Links to: Prior month closing balance row 23</t>
      </text>
    </comment>
    <comment ref="D24" authorId="0" shapeId="0">
      <text>
        <t>Loan: Paccar, 5 Peterbilt 579s. Interest = Opening * Annual Rate / 12</t>
      </text>
    </comment>
    <comment ref="E24" authorId="0" shapeId="0">
      <text>
        <t>Loan: Paccar, 5 Peterbilt 579s. Principal = MIN(Opening, Payment - Interest)</t>
      </text>
    </comment>
    <comment ref="F24" authorId="0" shapeId="0">
      <text>
        <t>Loan: Paccar, 5 Peterbilt 579s. Closing = Opening - Principal</t>
      </text>
    </comment>
    <comment ref="C25" authorId="0" shapeId="0">
      <text>
        <t>Links to: Prior month closing balance row 24</t>
      </text>
    </comment>
    <comment ref="D25" authorId="0" shapeId="0">
      <text>
        <t>Loan: Paccar, 5 Peterbilt 579s. Interest = Opening * Annual Rate / 12</t>
      </text>
    </comment>
    <comment ref="E25" authorId="0" shapeId="0">
      <text>
        <t>Loan: Paccar, 5 Peterbilt 579s. Principal = MIN(Opening, Payment - Interest)</t>
      </text>
    </comment>
    <comment ref="F25" authorId="0" shapeId="0">
      <text>
        <t>Loan: Paccar, 5 Peterbilt 579s. Closing = Opening - Principal</t>
      </text>
    </comment>
    <comment ref="C26" authorId="0" shapeId="0">
      <text>
        <t>Links to: Prior month closing balance row 25</t>
      </text>
    </comment>
    <comment ref="D26" authorId="0" shapeId="0">
      <text>
        <t>Loan: Paccar, 5 Peterbilt 579s. Interest = Opening * Annual Rate / 12</t>
      </text>
    </comment>
    <comment ref="E26" authorId="0" shapeId="0">
      <text>
        <t>Loan: Paccar, 5 Peterbilt 579s. Principal = MIN(Opening, Payment - Interest)</t>
      </text>
    </comment>
    <comment ref="F26" authorId="0" shapeId="0">
      <text>
        <t>Loan: Paccar, 5 Peterbilt 579s. Closing = Opening - Principal</t>
      </text>
    </comment>
    <comment ref="C27" authorId="0" shapeId="0">
      <text>
        <t>Links to: Prior month closing balance row 26</t>
      </text>
    </comment>
    <comment ref="D27" authorId="0" shapeId="0">
      <text>
        <t>Loan: Paccar, 5 Peterbilt 579s. Interest = Opening * Annual Rate / 12</t>
      </text>
    </comment>
    <comment ref="E27" authorId="0" shapeId="0">
      <text>
        <t>Loan: Paccar, 5 Peterbilt 579s. Principal = MIN(Opening, Payment - Interest)</t>
      </text>
    </comment>
    <comment ref="F27" authorId="0" shapeId="0">
      <text>
        <t>Loan: Paccar, 5 Peterbilt 579s. Closing = Opening - Principal</t>
      </text>
    </comment>
    <comment ref="C28" authorId="0" shapeId="0">
      <text>
        <t>Links to: Prior month closing balance row 27</t>
      </text>
    </comment>
    <comment ref="D28" authorId="0" shapeId="0">
      <text>
        <t>Loan: Paccar, 5 Peterbilt 579s. Interest = Opening * Annual Rate / 12</t>
      </text>
    </comment>
    <comment ref="E28" authorId="0" shapeId="0">
      <text>
        <t>Loan: Paccar, 5 Peterbilt 579s. Principal = MIN(Opening, Payment - Interest)</t>
      </text>
    </comment>
    <comment ref="F28" authorId="0" shapeId="0">
      <text>
        <t>Loan: Paccar, 5 Peterbilt 579s. Closing = Opening - Principal</t>
      </text>
    </comment>
    <comment ref="C29" authorId="0" shapeId="0">
      <text>
        <t>Links to: Prior month closing balance row 28</t>
      </text>
    </comment>
    <comment ref="D29" authorId="0" shapeId="0">
      <text>
        <t>Loan: Paccar, 5 Peterbilt 579s. Interest = Opening * Annual Rate / 12</t>
      </text>
    </comment>
    <comment ref="E29" authorId="0" shapeId="0">
      <text>
        <t>Loan: Paccar, 5 Peterbilt 579s. Principal = MIN(Opening, Payment - Interest)</t>
      </text>
    </comment>
    <comment ref="F29" authorId="0" shapeId="0">
      <text>
        <t>Loan: Paccar, 5 Peterbilt 579s. Closing = Opening - Principal</t>
      </text>
    </comment>
    <comment ref="C30" authorId="0" shapeId="0">
      <text>
        <t>Links to: Prior month closing balance row 29</t>
      </text>
    </comment>
    <comment ref="D30" authorId="0" shapeId="0">
      <text>
        <t>Loan: Paccar, 5 Peterbilt 579s. Interest = Opening * Annual Rate / 12</t>
      </text>
    </comment>
    <comment ref="E30" authorId="0" shapeId="0">
      <text>
        <t>Loan: Paccar, 5 Peterbilt 579s. Principal = MIN(Opening, Payment - Interest)</t>
      </text>
    </comment>
    <comment ref="F30" authorId="0" shapeId="0">
      <text>
        <t>Loan: Paccar, 5 Peterbilt 579s. Closing = Opening - Principal</t>
      </text>
    </comment>
    <comment ref="C31" authorId="0" shapeId="0">
      <text>
        <t>Links to: Prior month closing balance row 30</t>
      </text>
    </comment>
    <comment ref="D31" authorId="0" shapeId="0">
      <text>
        <t>Loan: Paccar, 5 Peterbilt 579s. Interest = Opening * Annual Rate / 12</t>
      </text>
    </comment>
    <comment ref="E31" authorId="0" shapeId="0">
      <text>
        <t>Loan: Paccar, 5 Peterbilt 579s. Principal = MIN(Opening, Payment - Interest)</t>
      </text>
    </comment>
    <comment ref="F31" authorId="0" shapeId="0">
      <text>
        <t>Loan: Paccar, 5 Peterbilt 579s. Closing = Opening - Principal</t>
      </text>
    </comment>
    <comment ref="C32" authorId="0" shapeId="0">
      <text>
        <t>Links to: Prior month closing balance row 31</t>
      </text>
    </comment>
    <comment ref="D32" authorId="0" shapeId="0">
      <text>
        <t>Loan: Paccar, 5 Peterbilt 579s. Interest = Opening * Annual Rate / 12</t>
      </text>
    </comment>
    <comment ref="E32" authorId="0" shapeId="0">
      <text>
        <t>Loan: Paccar, 5 Peterbilt 579s. Principal = MIN(Opening, Payment - Interest)</t>
      </text>
    </comment>
    <comment ref="F32" authorId="0" shapeId="0">
      <text>
        <t>Loan: Paccar, 5 Peterbilt 579s. Closing = Opening - Principal</t>
      </text>
    </comment>
    <comment ref="C33" authorId="0" shapeId="0">
      <text>
        <t>Links to: Prior month closing balance row 32</t>
      </text>
    </comment>
    <comment ref="D33" authorId="0" shapeId="0">
      <text>
        <t>Loan: Paccar, 5 Peterbilt 579s. Interest = Opening * Annual Rate / 12</t>
      </text>
    </comment>
    <comment ref="E33" authorId="0" shapeId="0">
      <text>
        <t>Loan: Paccar, 5 Peterbilt 579s. Principal = MIN(Opening, Payment - Interest)</t>
      </text>
    </comment>
    <comment ref="F33" authorId="0" shapeId="0">
      <text>
        <t>Loan: Paccar, 5 Peterbilt 579s. Closing = Opening - Principal</t>
      </text>
    </comment>
    <comment ref="C34" authorId="0" shapeId="0">
      <text>
        <t>Links to: Prior month closing balance row 33</t>
      </text>
    </comment>
    <comment ref="D34" authorId="0" shapeId="0">
      <text>
        <t>Loan: Paccar, 5 Peterbilt 579s. Interest = Opening * Annual Rate / 12</t>
      </text>
    </comment>
    <comment ref="E34" authorId="0" shapeId="0">
      <text>
        <t>Loan: Paccar, 5 Peterbilt 579s. Principal = MIN(Opening, Payment - Interest)</t>
      </text>
    </comment>
    <comment ref="F34" authorId="0" shapeId="0">
      <text>
        <t>Loan: Paccar, 5 Peterbilt 579s. Closing = Opening - Principal</t>
      </text>
    </comment>
    <comment ref="C35" authorId="0" shapeId="0">
      <text>
        <t>Links to: Prior month closing balance row 34</t>
      </text>
    </comment>
    <comment ref="D35" authorId="0" shapeId="0">
      <text>
        <t>Loan: Paccar, 5 Peterbilt 579s. Interest = Opening * Annual Rate / 12</t>
      </text>
    </comment>
    <comment ref="E35" authorId="0" shapeId="0">
      <text>
        <t>Loan: Paccar, 5 Peterbilt 579s. Principal = MIN(Opening, Payment - Interest)</t>
      </text>
    </comment>
    <comment ref="F35" authorId="0" shapeId="0">
      <text>
        <t>Loan: Paccar, 5 Peterbilt 579s. Closing = Opening - Principal</t>
      </text>
    </comment>
    <comment ref="C36" authorId="0" shapeId="0">
      <text>
        <t>Links to: Prior month closing balance row 35</t>
      </text>
    </comment>
    <comment ref="D36" authorId="0" shapeId="0">
      <text>
        <t>Loan: Paccar, 5 Peterbilt 579s. Interest = Opening * Annual Rate / 12</t>
      </text>
    </comment>
    <comment ref="E36" authorId="0" shapeId="0">
      <text>
        <t>Loan: Paccar, 5 Peterbilt 579s. Principal = MIN(Opening, Payment - Interest)</t>
      </text>
    </comment>
    <comment ref="F36" authorId="0" shapeId="0">
      <text>
        <t>Loan: Paccar, 5 Peterbilt 579s. Closing = Opening - Principal</t>
      </text>
    </comment>
    <comment ref="C37" authorId="0" shapeId="0">
      <text>
        <t>Links to: Prior month closing balance row 36</t>
      </text>
    </comment>
    <comment ref="D37" authorId="0" shapeId="0">
      <text>
        <t>Loan: Paccar, 5 Peterbilt 579s. Interest = Opening * Annual Rate / 12</t>
      </text>
    </comment>
    <comment ref="E37" authorId="0" shapeId="0">
      <text>
        <t>Loan: Paccar, 5 Peterbilt 579s. Principal = MIN(Opening, Payment - Interest)</t>
      </text>
    </comment>
    <comment ref="F37" authorId="0" shapeId="0">
      <text>
        <t>Loan: Paccar, 5 Peterbilt 579s. Closing = Opening - Principal</t>
      </text>
    </comment>
    <comment ref="C38" authorId="0" shapeId="0">
      <text>
        <t>Links to: Prior month closing balance row 37</t>
      </text>
    </comment>
    <comment ref="D38" authorId="0" shapeId="0">
      <text>
        <t>Loan: Paccar, 5 Peterbilt 579s. Interest = Opening * Annual Rate / 12</t>
      </text>
    </comment>
    <comment ref="E38" authorId="0" shapeId="0">
      <text>
        <t>Loan: Paccar, 5 Peterbilt 579s. Principal = MIN(Opening, Payment - Interest)</t>
      </text>
    </comment>
    <comment ref="F38" authorId="0" shapeId="0">
      <text>
        <t>Loan: Paccar, 5 Peterbilt 579s. Closing = Opening - Principal</t>
      </text>
    </comment>
    <comment ref="C39" authorId="0" shapeId="0">
      <text>
        <t>Links to: Prior month closing balance row 38</t>
      </text>
    </comment>
    <comment ref="D39" authorId="0" shapeId="0">
      <text>
        <t>Loan: Paccar, 5 Peterbilt 579s. Interest = Opening * Annual Rate / 12</t>
      </text>
    </comment>
    <comment ref="E39" authorId="0" shapeId="0">
      <text>
        <t>Loan: Paccar, 5 Peterbilt 579s. Principal = MIN(Opening, Payment - Interest)</t>
      </text>
    </comment>
    <comment ref="F39" authorId="0" shapeId="0">
      <text>
        <t>Loan: Paccar, 5 Peterbilt 579s. Closing = Opening - Principal</t>
      </text>
    </comment>
    <comment ref="C40" authorId="0" shapeId="0">
      <text>
        <t>Links to: Prior month closing balance row 39</t>
      </text>
    </comment>
    <comment ref="D40" authorId="0" shapeId="0">
      <text>
        <t>Loan: Paccar, 5 Peterbilt 579s. Interest = Opening * Annual Rate / 12</t>
      </text>
    </comment>
    <comment ref="E40" authorId="0" shapeId="0">
      <text>
        <t>Loan: Paccar, 5 Peterbilt 579s. Principal = MIN(Opening, Payment - Interest)</t>
      </text>
    </comment>
    <comment ref="F40" authorId="0" shapeId="0">
      <text>
        <t>Loan: Paccar, 5 Peterbilt 579s. Closing = Opening - Principal</t>
      </text>
    </comment>
    <comment ref="C41" authorId="0" shapeId="0">
      <text>
        <t>Links to: Prior month closing balance row 40</t>
      </text>
    </comment>
    <comment ref="D41" authorId="0" shapeId="0">
      <text>
        <t>Loan: Paccar, 5 Peterbilt 579s. Interest = Opening * Annual Rate / 12</t>
      </text>
    </comment>
    <comment ref="E41" authorId="0" shapeId="0">
      <text>
        <t>Loan: Paccar, 5 Peterbilt 579s. Principal = MIN(Opening, Payment - Interest)</t>
      </text>
    </comment>
    <comment ref="F41" authorId="0" shapeId="0">
      <text>
        <t>Loan: Paccar, 5 Peterbilt 579s. Closing = Opening - Principal</t>
      </text>
    </comment>
    <comment ref="C42" authorId="0" shapeId="0">
      <text>
        <t>Links to: Prior month closing balance row 41</t>
      </text>
    </comment>
    <comment ref="D42" authorId="0" shapeId="0">
      <text>
        <t>Loan: Paccar, 5 Peterbilt 579s. Interest = Opening * Annual Rate / 12</t>
      </text>
    </comment>
    <comment ref="E42" authorId="0" shapeId="0">
      <text>
        <t>Loan: Paccar, 5 Peterbilt 579s. Principal = MIN(Opening, Payment - Interest)</t>
      </text>
    </comment>
    <comment ref="F42" authorId="0" shapeId="0">
      <text>
        <t>Loan: Paccar, 5 Peterbilt 579s. Closing = Opening - Principal</t>
      </text>
    </comment>
    <comment ref="C43" authorId="0" shapeId="0">
      <text>
        <t>Links to: Prior month closing balance row 42</t>
      </text>
    </comment>
    <comment ref="D43" authorId="0" shapeId="0">
      <text>
        <t>Loan: Paccar, 5 Peterbilt 579s. Interest = Opening * Annual Rate / 12</t>
      </text>
    </comment>
    <comment ref="E43" authorId="0" shapeId="0">
      <text>
        <t>Loan: Paccar, 5 Peterbilt 579s. Principal = MIN(Opening, Payment - Interest)</t>
      </text>
    </comment>
    <comment ref="F43" authorId="0" shapeId="0">
      <text>
        <t>Loan: Paccar, 5 Peterbilt 579s. Closing = Opening - Principal</t>
      </text>
    </comment>
    <comment ref="C44" authorId="0" shapeId="0">
      <text>
        <t>Links to: Prior month closing balance row 43</t>
      </text>
    </comment>
    <comment ref="D44" authorId="0" shapeId="0">
      <text>
        <t>Loan: Paccar, 5 Peterbilt 579s. Interest = Opening * Annual Rate / 12</t>
      </text>
    </comment>
    <comment ref="E44" authorId="0" shapeId="0">
      <text>
        <t>Loan: Paccar, 5 Peterbilt 579s. Principal = MIN(Opening, Payment - Interest)</t>
      </text>
    </comment>
    <comment ref="F44" authorId="0" shapeId="0">
      <text>
        <t>Loan: Paccar, 5 Peterbilt 579s. Closing = Opening - Principal</t>
      </text>
    </comment>
    <comment ref="C45" authorId="0" shapeId="0">
      <text>
        <t>Links to: Prior month closing balance row 44</t>
      </text>
    </comment>
    <comment ref="D45" authorId="0" shapeId="0">
      <text>
        <t>Loan: Paccar, 5 Peterbilt 579s. Interest = Opening * Annual Rate / 12</t>
      </text>
    </comment>
    <comment ref="E45" authorId="0" shapeId="0">
      <text>
        <t>Loan: Paccar, 5 Peterbilt 579s. Principal = MIN(Opening, Payment - Interest)</t>
      </text>
    </comment>
    <comment ref="F45" authorId="0" shapeId="0">
      <text>
        <t>Loan: Paccar, 5 Peterbilt 579s. Closing = Opening - Principal</t>
      </text>
    </comment>
    <comment ref="C46" authorId="0" shapeId="0">
      <text>
        <t>Links to: Prior month closing balance row 45</t>
      </text>
    </comment>
    <comment ref="D46" authorId="0" shapeId="0">
      <text>
        <t>Loan: Paccar, 5 Peterbilt 579s. Interest = Opening * Annual Rate / 12</t>
      </text>
    </comment>
    <comment ref="E46" authorId="0" shapeId="0">
      <text>
        <t>Loan: Paccar, 5 Peterbilt 579s. Principal = MIN(Opening, Payment - Interest)</t>
      </text>
    </comment>
    <comment ref="F46" authorId="0" shapeId="0">
      <text>
        <t>Loan: Paccar, 5 Peterbilt 579s. Closing = Opening - Principal</t>
      </text>
    </comment>
    <comment ref="C47" authorId="0" shapeId="0">
      <text>
        <t>Links to: Prior month closing balance row 46</t>
      </text>
    </comment>
    <comment ref="D47" authorId="0" shapeId="0">
      <text>
        <t>Loan: Paccar, 5 Peterbilt 579s. Interest = Opening * Annual Rate / 12</t>
      </text>
    </comment>
    <comment ref="E47" authorId="0" shapeId="0">
      <text>
        <t>Loan: Paccar, 5 Peterbilt 579s. Principal = MIN(Opening, Payment - Interest)</t>
      </text>
    </comment>
    <comment ref="F47" authorId="0" shapeId="0">
      <text>
        <t>Loan: Paccar, 5 Peterbilt 579s. Closing = Opening - Principal</t>
      </text>
    </comment>
    <comment ref="C48" authorId="0" shapeId="0">
      <text>
        <t>Links to: Prior month closing balance row 47</t>
      </text>
    </comment>
    <comment ref="D48" authorId="0" shapeId="0">
      <text>
        <t>Loan: Paccar, 5 Peterbilt 579s. Interest = Opening * Annual Rate / 12</t>
      </text>
    </comment>
    <comment ref="E48" authorId="0" shapeId="0">
      <text>
        <t>Loan: Paccar, 5 Peterbilt 579s. Principal = MIN(Opening, Payment - Interest)</t>
      </text>
    </comment>
    <comment ref="F48" authorId="0" shapeId="0">
      <text>
        <t>Loan: Paccar, 5 Peterbilt 579s. Closing = Opening - Principal</t>
      </text>
    </comment>
    <comment ref="C49" authorId="0" shapeId="0">
      <text>
        <t>Links to: Prior month closing balance row 48</t>
      </text>
    </comment>
    <comment ref="D49" authorId="0" shapeId="0">
      <text>
        <t>Loan: Paccar, 5 Peterbilt 579s. Interest = Opening * Annual Rate / 12</t>
      </text>
    </comment>
    <comment ref="E49" authorId="0" shapeId="0">
      <text>
        <t>Loan: Paccar, 5 Peterbilt 579s. Principal = MIN(Opening, Payment - Interest)</t>
      </text>
    </comment>
    <comment ref="F49" authorId="0" shapeId="0">
      <text>
        <t>Loan: Paccar, 5 Peterbilt 579s. Closing = Opening - Principal</t>
      </text>
    </comment>
    <comment ref="C50" authorId="0" shapeId="0">
      <text>
        <t>Links to: Prior month closing balance row 49</t>
      </text>
    </comment>
    <comment ref="D50" authorId="0" shapeId="0">
      <text>
        <t>Loan: Paccar, 5 Peterbilt 579s. Interest = Opening * Annual Rate / 12</t>
      </text>
    </comment>
    <comment ref="E50" authorId="0" shapeId="0">
      <text>
        <t>Loan: Paccar, 5 Peterbilt 579s. Principal = MIN(Opening, Payment - Interest)</t>
      </text>
    </comment>
    <comment ref="F50" authorId="0" shapeId="0">
      <text>
        <t>Loan: Paccar, 5 Peterbilt 579s. Closing = Opening - Principal</t>
      </text>
    </comment>
    <comment ref="C51" authorId="0" shapeId="0">
      <text>
        <t>Links to: Prior month closing balance row 50</t>
      </text>
    </comment>
    <comment ref="D51" authorId="0" shapeId="0">
      <text>
        <t>Loan: Paccar, 5 Peterbilt 579s. Interest = Opening * Annual Rate / 12</t>
      </text>
    </comment>
    <comment ref="E51" authorId="0" shapeId="0">
      <text>
        <t>Loan: Paccar, 5 Peterbilt 579s. Principal = MIN(Opening, Payment - Interest)</t>
      </text>
    </comment>
    <comment ref="F51" authorId="0" shapeId="0">
      <text>
        <t>Loan: Paccar, 5 Peterbilt 579s. Closing = Opening - Principal</t>
      </text>
    </comment>
    <comment ref="C52" authorId="0" shapeId="0">
      <text>
        <t>Links to: Prior month closing balance row 51</t>
      </text>
    </comment>
    <comment ref="D52" authorId="0" shapeId="0">
      <text>
        <t>Loan: Paccar, 5 Peterbilt 579s. Interest = Opening * Annual Rate / 12</t>
      </text>
    </comment>
    <comment ref="E52" authorId="0" shapeId="0">
      <text>
        <t>Loan: Paccar, 5 Peterbilt 579s. Principal = MIN(Opening, Payment - Interest)</t>
      </text>
    </comment>
    <comment ref="F52" authorId="0" shapeId="0">
      <text>
        <t>Loan: Paccar, 5 Peterbilt 579s. Closing = Opening - Principal</t>
      </text>
    </comment>
    <comment ref="C53" authorId="0" shapeId="0">
      <text>
        <t>Links to: Prior month closing balance row 52</t>
      </text>
    </comment>
    <comment ref="D53" authorId="0" shapeId="0">
      <text>
        <t>Loan: Paccar, 5 Peterbilt 579s. Interest = Opening * Annual Rate / 12</t>
      </text>
    </comment>
    <comment ref="E53" authorId="0" shapeId="0">
      <text>
        <t>Loan: Paccar, 5 Peterbilt 579s. Principal = MIN(Opening, Payment - Interest)</t>
      </text>
    </comment>
    <comment ref="F53" authorId="0" shapeId="0">
      <text>
        <t>Loan: Paccar, 5 Peterbilt 579s. Closing = Opening - Principal</t>
      </text>
    </comment>
    <comment ref="C54" authorId="0" shapeId="0">
      <text>
        <t>Links to: Prior month closing balance row 53</t>
      </text>
    </comment>
    <comment ref="D54" authorId="0" shapeId="0">
      <text>
        <t>Loan: Paccar, 5 Peterbilt 579s. Interest = Opening * Annual Rate / 12</t>
      </text>
    </comment>
    <comment ref="E54" authorId="0" shapeId="0">
      <text>
        <t>Loan: Paccar, 5 Peterbilt 579s. Principal = MIN(Opening, Payment - Interest)</t>
      </text>
    </comment>
    <comment ref="F54" authorId="0" shapeId="0">
      <text>
        <t>Loan: Paccar, 5 Peterbilt 579s. Closing = Opening - Principal</t>
      </text>
    </comment>
    <comment ref="C55" authorId="0" shapeId="0">
      <text>
        <t>Links to: Prior month closing balance row 54</t>
      </text>
    </comment>
    <comment ref="D55" authorId="0" shapeId="0">
      <text>
        <t>Loan: Paccar, 5 Peterbilt 579s. Interest = Opening * Annual Rate / 12</t>
      </text>
    </comment>
    <comment ref="E55" authorId="0" shapeId="0">
      <text>
        <t>Loan: Paccar, 5 Peterbilt 579s. Principal = MIN(Opening, Payment - Interest)</t>
      </text>
    </comment>
    <comment ref="F55" authorId="0" shapeId="0">
      <text>
        <t>Loan: Paccar, 5 Peterbilt 579s. Closing = Opening - Principal</t>
      </text>
    </comment>
    <comment ref="C56" authorId="0" shapeId="0">
      <text>
        <t>Links to: Prior month closing balance row 55</t>
      </text>
    </comment>
    <comment ref="D56" authorId="0" shapeId="0">
      <text>
        <t>Loan: Paccar, 5 Peterbilt 579s. Interest = Opening * Annual Rate / 12</t>
      </text>
    </comment>
    <comment ref="E56" authorId="0" shapeId="0">
      <text>
        <t>Loan: Paccar, 5 Peterbilt 579s. Principal = MIN(Opening, Payment - Interest)</t>
      </text>
    </comment>
    <comment ref="F56" authorId="0" shapeId="0">
      <text>
        <t>Loan: Paccar, 5 Peterbilt 579s. Closing = Opening - Principal</t>
      </text>
    </comment>
    <comment ref="C57" authorId="0" shapeId="0">
      <text>
        <t>Links to: Prior month closing balance row 56</t>
      </text>
    </comment>
    <comment ref="D57" authorId="0" shapeId="0">
      <text>
        <t>Loan: Paccar, 5 Peterbilt 579s. Interest = Opening * Annual Rate / 12</t>
      </text>
    </comment>
    <comment ref="E57" authorId="0" shapeId="0">
      <text>
        <t>Loan: Paccar, 5 Peterbilt 579s. Principal = MIN(Opening, Payment - Interest)</t>
      </text>
    </comment>
    <comment ref="F57" authorId="0" shapeId="0">
      <text>
        <t>Loan: Paccar, 5 Peterbilt 579s. Closing = Opening - Principal</t>
      </text>
    </comment>
    <comment ref="C58" authorId="0" shapeId="0">
      <text>
        <t>Links to: Prior month closing balance row 57</t>
      </text>
    </comment>
    <comment ref="D58" authorId="0" shapeId="0">
      <text>
        <t>Loan: Paccar, 5 Peterbilt 579s. Interest = Opening * Annual Rate / 12</t>
      </text>
    </comment>
    <comment ref="E58" authorId="0" shapeId="0">
      <text>
        <t>Loan: Paccar, 5 Peterbilt 579s. Principal = MIN(Opening, Payment - Interest)</t>
      </text>
    </comment>
    <comment ref="F58" authorId="0" shapeId="0">
      <text>
        <t>Loan: Paccar, 5 Peterbilt 579s. Closing = Opening - Principal</t>
      </text>
    </comment>
    <comment ref="C59" authorId="0" shapeId="0">
      <text>
        <t>Links to: Prior month closing balance row 58</t>
      </text>
    </comment>
    <comment ref="D59" authorId="0" shapeId="0">
      <text>
        <t>Loan: Paccar, 5 Peterbilt 579s. Interest = Opening * Annual Rate / 12</t>
      </text>
    </comment>
    <comment ref="E59" authorId="0" shapeId="0">
      <text>
        <t>Loan: Paccar, 5 Peterbilt 579s. Principal = MIN(Opening, Payment - Interest)</t>
      </text>
    </comment>
    <comment ref="F59" authorId="0" shapeId="0">
      <text>
        <t>Loan: Paccar, 5 Peterbilt 579s. Closing = Opening - Principal</t>
      </text>
    </comment>
    <comment ref="C60" authorId="0" shapeId="0">
      <text>
        <t>Links to: Prior month closing balance row 59</t>
      </text>
    </comment>
    <comment ref="D60" authorId="0" shapeId="0">
      <text>
        <t>Loan: Paccar, 5 Peterbilt 579s. Interest = Opening * Annual Rate / 12</t>
      </text>
    </comment>
    <comment ref="E60" authorId="0" shapeId="0">
      <text>
        <t>Loan: Paccar, 5 Peterbilt 579s. Principal = MIN(Opening, Payment - Interest)</t>
      </text>
    </comment>
    <comment ref="F60" authorId="0" shapeId="0">
      <text>
        <t>Loan: Paccar, 5 Peterbilt 579s. Closing = Opening - Principal</t>
      </text>
    </comment>
    <comment ref="C61" authorId="0" shapeId="0">
      <text>
        <t>Links to: Prior month closing balance row 60</t>
      </text>
    </comment>
    <comment ref="D61" authorId="0" shapeId="0">
      <text>
        <t>Loan: Paccar, 5 Peterbilt 579s. Interest = Opening * Annual Rate / 12</t>
      </text>
    </comment>
    <comment ref="E61" authorId="0" shapeId="0">
      <text>
        <t>Loan: Paccar, 5 Peterbilt 579s. Principal = MIN(Opening, Payment - Interest)</t>
      </text>
    </comment>
    <comment ref="F61" authorId="0" shapeId="0">
      <text>
        <t>Loan: Paccar, 5 Peterbilt 579s. Closing = Opening - Principal</t>
      </text>
    </comment>
    <comment ref="C62" authorId="0" shapeId="0">
      <text>
        <t>Links to: Prior month closing balance row 61</t>
      </text>
    </comment>
    <comment ref="D62" authorId="0" shapeId="0">
      <text>
        <t>Loan: Paccar, 5 Peterbilt 579s. Interest = Opening * Annual Rate / 12</t>
      </text>
    </comment>
    <comment ref="E62" authorId="0" shapeId="0">
      <text>
        <t>Loan: Paccar, 5 Peterbilt 579s. Principal = MIN(Opening, Payment - Interest)</t>
      </text>
    </comment>
    <comment ref="F62" authorId="0" shapeId="0">
      <text>
        <t>Loan: Paccar, 5 Peterbilt 579s. Closing = Opening - Principal</t>
      </text>
    </comment>
    <comment ref="C63" authorId="0" shapeId="0">
      <text>
        <t>Links to: Prior month closing balance row 62</t>
      </text>
    </comment>
    <comment ref="D63" authorId="0" shapeId="0">
      <text>
        <t>Loan: Paccar, 5 Peterbilt 579s. Interest = Opening * Annual Rate / 12</t>
      </text>
    </comment>
    <comment ref="E63" authorId="0" shapeId="0">
      <text>
        <t>Loan: Paccar, 5 Peterbilt 579s. Principal = MIN(Opening, Payment - Interest)</t>
      </text>
    </comment>
    <comment ref="F63" authorId="0" shapeId="0">
      <text>
        <t>Loan: Paccar, 5 Peterbilt 579s. Closing = Opening - Principal</t>
      </text>
    </comment>
    <comment ref="C64" authorId="0" shapeId="0">
      <text>
        <t>Links to: Prior month closing balance row 63</t>
      </text>
    </comment>
    <comment ref="D64" authorId="0" shapeId="0">
      <text>
        <t>Loan: Paccar, 5 Peterbilt 579s. Interest = Opening * Annual Rate / 12</t>
      </text>
    </comment>
    <comment ref="E64" authorId="0" shapeId="0">
      <text>
        <t>Loan: Paccar, 5 Peterbilt 579s. Principal = MIN(Opening, Payment - Interest)</t>
      </text>
    </comment>
    <comment ref="F64" authorId="0" shapeId="0">
      <text>
        <t>Loan: Paccar, 5 Peterbilt 579s. Closing = Opening - Principal</t>
      </text>
    </comment>
    <comment ref="C65" authorId="0" shapeId="0">
      <text>
        <t>Links to: Prior month closing balance row 64</t>
      </text>
    </comment>
    <comment ref="D65" authorId="0" shapeId="0">
      <text>
        <t>Loan: Paccar, 5 Peterbilt 579s. Interest = Opening * Annual Rate / 12</t>
      </text>
    </comment>
    <comment ref="E65" authorId="0" shapeId="0">
      <text>
        <t>Loan: Paccar, 5 Peterbilt 579s. Principal = MIN(Opening, Payment - Interest)</t>
      </text>
    </comment>
    <comment ref="F65" authorId="0" shapeId="0">
      <text>
        <t>Loan: Paccar, 5 Peterbilt 579s. Closing = Opening - Principal</t>
      </text>
    </comment>
    <comment ref="C66" authorId="0" shapeId="0">
      <text>
        <t>Links to: Prior month closing balance row 65</t>
      </text>
    </comment>
    <comment ref="D66" authorId="0" shapeId="0">
      <text>
        <t>Loan: Paccar, 5 Peterbilt 579s. Interest = Opening * Annual Rate / 12</t>
      </text>
    </comment>
    <comment ref="E66" authorId="0" shapeId="0">
      <text>
        <t>Loan: Paccar, 5 Peterbilt 579s. Principal = MIN(Opening, Payment - Interest)</t>
      </text>
    </comment>
    <comment ref="F66" authorId="0" shapeId="0">
      <text>
        <t>Loan: Paccar, 5 Peterbilt 579s. Closing = Opening - Principal</t>
      </text>
    </comment>
    <comment ref="C67" authorId="0" shapeId="0">
      <text>
        <t>Links to: Prior month closing balance row 66</t>
      </text>
    </comment>
    <comment ref="D67" authorId="0" shapeId="0">
      <text>
        <t>Loan: Paccar, 5 Peterbilt 579s. Interest = Opening * Annual Rate / 12</t>
      </text>
    </comment>
    <comment ref="E67" authorId="0" shapeId="0">
      <text>
        <t>Loan: Paccar, 5 Peterbilt 579s. Principal = MIN(Opening, Payment - Interest)</t>
      </text>
    </comment>
    <comment ref="F67" authorId="0" shapeId="0">
      <text>
        <t>Loan: Paccar, 5 Peterbilt 579s. Closing = Opening - Principal</t>
      </text>
    </comment>
    <comment ref="C68" authorId="0" shapeId="0">
      <text>
        <t>Links to: Prior month closing balance row 67</t>
      </text>
    </comment>
    <comment ref="D68" authorId="0" shapeId="0">
      <text>
        <t>Loan: Paccar, 5 Peterbilt 579s. Interest = Opening * Annual Rate / 12</t>
      </text>
    </comment>
    <comment ref="E68" authorId="0" shapeId="0">
      <text>
        <t>Loan: Paccar, 5 Peterbilt 579s. Principal = MIN(Opening, Payment - Interest)</t>
      </text>
    </comment>
    <comment ref="F68" authorId="0" shapeId="0">
      <text>
        <t>Loan: Paccar, 5 Peterbilt 579s. Closing = Opening - Principal</t>
      </text>
    </comment>
    <comment ref="C69" authorId="0" shapeId="0">
      <text>
        <t>Links to: Prior month closing balance row 68</t>
      </text>
    </comment>
    <comment ref="D69" authorId="0" shapeId="0">
      <text>
        <t>Loan: Paccar, 5 Peterbilt 579s. Interest = Opening * Annual Rate / 12</t>
      </text>
    </comment>
    <comment ref="E69" authorId="0" shapeId="0">
      <text>
        <t>Loan: Paccar, 5 Peterbilt 579s. Principal = MIN(Opening, Payment - Interest)</t>
      </text>
    </comment>
    <comment ref="F69" authorId="0" shapeId="0">
      <text>
        <t>Loan: Paccar, 5 Peterbilt 579s. Closing = Opening - Principal</t>
      </text>
    </comment>
    <comment ref="C70" authorId="0" shapeId="0">
      <text>
        <t>Links to: Prior month closing balance row 69</t>
      </text>
    </comment>
    <comment ref="D70" authorId="0" shapeId="0">
      <text>
        <t>Loan: Paccar, 5 Peterbilt 579s. Interest = Opening * Annual Rate / 12</t>
      </text>
    </comment>
    <comment ref="E70" authorId="0" shapeId="0">
      <text>
        <t>Loan: Paccar, 5 Peterbilt 579s. Principal = MIN(Opening, Payment - Interest)</t>
      </text>
    </comment>
    <comment ref="F70" authorId="0" shapeId="0">
      <text>
        <t>Loan: Paccar, 5 Peterbilt 579s. Closing = Opening - Principal</t>
      </text>
    </comment>
    <comment ref="C71" authorId="0" shapeId="0">
      <text>
        <t>Links to: Prior month closing balance row 70</t>
      </text>
    </comment>
    <comment ref="D71" authorId="0" shapeId="0">
      <text>
        <t>Loan: Paccar, 5 Peterbilt 579s. Interest = Opening * Annual Rate / 12</t>
      </text>
    </comment>
    <comment ref="E71" authorId="0" shapeId="0">
      <text>
        <t>Loan: Paccar, 5 Peterbilt 579s. Principal = MIN(Opening, Payment - Interest)</t>
      </text>
    </comment>
    <comment ref="F71" authorId="0" shapeId="0">
      <text>
        <t>Loan: Paccar, 5 Peterbilt 579s. Closing = Opening - Principal</t>
      </text>
    </comment>
    <comment ref="C76" authorId="0" shapeId="0">
      <text>
        <t>Sum of rows 23-34: Annual opening balance</t>
      </text>
    </comment>
    <comment ref="D76" authorId="0" shapeId="0">
      <text>
        <t>Sum of rows 23-34: Annual interest expense</t>
      </text>
    </comment>
    <comment ref="E76" authorId="0" shapeId="0">
      <text>
        <t>Sum of rows 23-34: Annual principal repayment</t>
      </text>
    </comment>
    <comment ref="F76" authorId="0" shapeId="0">
      <text>
        <t>Sum of rows 23-34: Year-end closing balance</t>
      </text>
    </comment>
    <comment ref="C77" authorId="0" shapeId="0">
      <text>
        <t>Sum of rows 35-46: Annual opening balance</t>
      </text>
    </comment>
    <comment ref="D77" authorId="0" shapeId="0">
      <text>
        <t>Sum of rows 35-46: Annual interest expense</t>
      </text>
    </comment>
    <comment ref="E77" authorId="0" shapeId="0">
      <text>
        <t>Sum of rows 35-46: Annual principal repayment</t>
      </text>
    </comment>
    <comment ref="F77" authorId="0" shapeId="0">
      <text>
        <t>Sum of rows 35-46: Year-end closing balance</t>
      </text>
    </comment>
    <comment ref="C78" authorId="0" shapeId="0">
      <text>
        <t>Sum of rows 47-58: Annual opening balance</t>
      </text>
    </comment>
    <comment ref="D78" authorId="0" shapeId="0">
      <text>
        <t>Sum of rows 47-58: Annual interest expense</t>
      </text>
    </comment>
    <comment ref="E78" authorId="0" shapeId="0">
      <text>
        <t>Sum of rows 47-58: Annual principal repayment</t>
      </text>
    </comment>
    <comment ref="F78" authorId="0" shapeId="0">
      <text>
        <t>Sum of rows 47-58: Year-end closing balance</t>
      </text>
    </comment>
    <comment ref="C79" authorId="0" shapeId="0">
      <text>
        <t>Sum of rows 59-70: Annual opening balance</t>
      </text>
    </comment>
    <comment ref="D79" authorId="0" shapeId="0">
      <text>
        <t>Sum of rows 59-70: Annual interest expense</t>
      </text>
    </comment>
    <comment ref="E79" authorId="0" shapeId="0">
      <text>
        <t>Sum of rows 59-70: Annual principal repayment</t>
      </text>
    </comment>
    <comment ref="F79" authorId="0" shapeId="0">
      <text>
        <t>Sum of rows 59-70: Year-end closing balance</t>
      </text>
    </comment>
    <comment ref="C80" authorId="0" shapeId="0">
      <text>
        <t>Sum of rows 71-71: Annual opening balance</t>
      </text>
    </comment>
    <comment ref="D80" authorId="0" shapeId="0">
      <text>
        <t>Sum of rows 71-71: Annual interest expense</t>
      </text>
    </comment>
    <comment ref="E80" authorId="0" shapeId="0">
      <text>
        <t>Sum of rows 71-71: Annual principal repayment</t>
      </text>
    </comment>
    <comment ref="F80" authorId="0" shapeId="0">
      <text>
        <t>Sum of rows 71-71: Year-end closing balance</t>
      </text>
    </comment>
    <comment ref="B83" authorId="0" shapeId="0">
      <text>
        <t>Links to: Year-end 2026 closing balance for Debt Schedule reference</t>
      </text>
    </comment>
  </commentList>
</comments>
</file>

<file path=xl/comments/comment34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 48 - data/loans.md</t>
      </text>
    </comment>
    <comment ref="B9" authorId="0" shapeId="0">
      <text>
        <t>Source: Loan 48 - data/loans.md
Original loan amount at origination.</t>
      </text>
    </comment>
    <comment ref="B10" authorId="0" shapeId="0">
      <text>
        <t>Source: Loan 48 - data/loans.md
Balance as of 12/31/2025.</t>
      </text>
    </comment>
    <comment ref="B11" authorId="0" shapeId="0">
      <text>
        <t>Source: Loan 48 - data/loans.md
Annual interest rate.</t>
      </text>
    </comment>
    <comment ref="B12" authorId="0" shapeId="0">
      <text>
        <t>Source: Loan 48 - data/loans.md
Fixed monthly payment amount.</t>
      </text>
    </comment>
    <comment ref="C21" authorId="0" shapeId="0">
      <text>
        <t>Loan: Ascentium Capital, AMORTIZING. Source: Loan 48 - data/loans.md</t>
      </text>
    </comment>
    <comment ref="D21" authorId="0" shapeId="0">
      <text>
        <t>Loan: Ascentium Capital, AMORTIZING. Source: Loan 48 - data/loans.md</t>
      </text>
    </comment>
    <comment ref="E21" authorId="0" shapeId="0">
      <text>
        <t>Loan: Ascentium Capital, AMORTIZING. Source: Loan 48 - data/loans.md</t>
      </text>
    </comment>
    <comment ref="F21" authorId="0" shapeId="0">
      <text>
        <t>Loan: Ascentium Capital, AMORTIZING. Source: Loan 48 - data/loans.md</t>
      </text>
    </comment>
    <comment ref="C22" authorId="0" shapeId="0">
      <text>
        <t>Loan: Ascentium Capital, AMORTIZING. Source: Loan 48 - data/loans.md</t>
      </text>
    </comment>
    <comment ref="D22" authorId="0" shapeId="0">
      <text>
        <t>Loan: Ascentium Capital, AMORTIZING. Source: Loan 48 - data/loans.md</t>
      </text>
    </comment>
    <comment ref="E22" authorId="0" shapeId="0">
      <text>
        <t>Loan: Ascentium Capital, AMORTIZING. Source: Loan 48 - data/loans.md</t>
      </text>
    </comment>
    <comment ref="F22" authorId="0" shapeId="0">
      <text>
        <t>Loan: Ascentium Capital, AMORTIZING. Source: Loan 48 - data/loans.md</t>
      </text>
    </comment>
    <comment ref="C23" authorId="0" shapeId="0">
      <text>
        <t>Loan: Ascentium Capital, AMORTIZING. Source: Loan 48 - data/loans.md</t>
      </text>
    </comment>
    <comment ref="D23" authorId="0" shapeId="0">
      <text>
        <t>Loan: Ascentium Capital, AMORTIZING. Source: Loan 48 - data/loans.md</t>
      </text>
    </comment>
    <comment ref="E23" authorId="0" shapeId="0">
      <text>
        <t>Loan: Ascentium Capital, AMORTIZING. Source: Loan 48 - data/loans.md</t>
      </text>
    </comment>
    <comment ref="F23" authorId="0" shapeId="0">
      <text>
        <t>Loan: Ascentium Capital, AMORTIZING. Source: Loan 48 - data/loans.md</t>
      </text>
    </comment>
    <comment ref="C24" authorId="0" shapeId="0">
      <text>
        <t>Loan: Ascentium Capital, AMORTIZING. Source: Loan 48 - data/loans.md</t>
      </text>
    </comment>
    <comment ref="D24" authorId="0" shapeId="0">
      <text>
        <t>Loan: Ascentium Capital, AMORTIZING. Source: Loan 48 - data/loans.md</t>
      </text>
    </comment>
    <comment ref="E24" authorId="0" shapeId="0">
      <text>
        <t>Loan: Ascentium Capital, AMORTIZING. Source: Loan 48 - data/loans.md</t>
      </text>
    </comment>
    <comment ref="F24" authorId="0" shapeId="0">
      <text>
        <t>Loan: Ascentium Capital, AMORTIZING. Source: Loan 48 - data/loans.md</t>
      </text>
    </comment>
    <comment ref="C25" authorId="0" shapeId="0">
      <text>
        <t>Loan: Ascentium Capital, AMORTIZING. Source: Loan 48 - data/loans.md</t>
      </text>
    </comment>
    <comment ref="D25" authorId="0" shapeId="0">
      <text>
        <t>Loan: Ascentium Capital, AMORTIZING. Source: Loan 48 - data/loans.md</t>
      </text>
    </comment>
    <comment ref="E25" authorId="0" shapeId="0">
      <text>
        <t>Loan: Ascentium Capital, AMORTIZING. Source: Loan 48 - data/loans.md</t>
      </text>
    </comment>
    <comment ref="F25" authorId="0" shapeId="0">
      <text>
        <t>Loan: Ascentium Capital, AMORTIZING. Source: Loan 48 - data/loans.md</t>
      </text>
    </comment>
    <comment ref="C26" authorId="0" shapeId="0">
      <text>
        <t>Loan: Ascentium Capital, AMORTIZING. Source: Loan 48 - data/loans.md</t>
      </text>
    </comment>
    <comment ref="D26" authorId="0" shapeId="0">
      <text>
        <t>Loan: Ascentium Capital, AMORTIZING. Source: Loan 48 - data/loans.md</t>
      </text>
    </comment>
    <comment ref="E26" authorId="0" shapeId="0">
      <text>
        <t>Loan: Ascentium Capital, AMORTIZING. Source: Loan 48 - data/loans.md</t>
      </text>
    </comment>
    <comment ref="F26" authorId="0" shapeId="0">
      <text>
        <t>Loan: Ascentium Capital, AMORTIZING. Source: Loan 48 - data/loans.md</t>
      </text>
    </comment>
    <comment ref="C27" authorId="0" shapeId="0">
      <text>
        <t>Loan: Ascentium Capital, AMORTIZING. Source: Loan 48 - data/loans.md</t>
      </text>
    </comment>
    <comment ref="D27" authorId="0" shapeId="0">
      <text>
        <t>Loan: Ascentium Capital, AMORTIZING. Source: Loan 48 - data/loans.md</t>
      </text>
    </comment>
    <comment ref="E27" authorId="0" shapeId="0">
      <text>
        <t>Loan: Ascentium Capital, AMORTIZING. Source: Loan 48 - data/loans.md</t>
      </text>
    </comment>
    <comment ref="F27" authorId="0" shapeId="0">
      <text>
        <t>Loan: Ascentium Capital, AMORTIZING. Source: Loan 48 - data/loans.md</t>
      </text>
    </comment>
    <comment ref="C28" authorId="0" shapeId="0">
      <text>
        <t>Loan: Ascentium Capital, AMORTIZING. Source: Loan 48 - data/loans.md</t>
      </text>
    </comment>
    <comment ref="D28" authorId="0" shapeId="0">
      <text>
        <t>Loan: Ascentium Capital, AMORTIZING. Source: Loan 48 - data/loans.md</t>
      </text>
    </comment>
    <comment ref="E28" authorId="0" shapeId="0">
      <text>
        <t>Loan: Ascentium Capital, AMORTIZING. Source: Loan 48 - data/loans.md</t>
      </text>
    </comment>
    <comment ref="F28" authorId="0" shapeId="0">
      <text>
        <t>Loan: Ascentium Capital, AMORTIZING. Source: Loan 48 - data/loans.md</t>
      </text>
    </comment>
    <comment ref="C29" authorId="0" shapeId="0">
      <text>
        <t>Loan: Ascentium Capital, AMORTIZING. Source: Loan 48 - data/loans.md</t>
      </text>
    </comment>
    <comment ref="D29" authorId="0" shapeId="0">
      <text>
        <t>Loan: Ascentium Capital, AMORTIZING. Source: Loan 48 - data/loans.md</t>
      </text>
    </comment>
    <comment ref="E29" authorId="0" shapeId="0">
      <text>
        <t>Loan: Ascentium Capital, AMORTIZING. Source: Loan 48 - data/loans.md</t>
      </text>
    </comment>
    <comment ref="F29" authorId="0" shapeId="0">
      <text>
        <t>Loan: Ascentium Capital, AMORTIZING. Source: Loan 48 - data/loans.md</t>
      </text>
    </comment>
    <comment ref="C30" authorId="0" shapeId="0">
      <text>
        <t>Loan: Ascentium Capital, AMORTIZING. Source: Loan 48 - data/loans.md</t>
      </text>
    </comment>
    <comment ref="D30" authorId="0" shapeId="0">
      <text>
        <t>Loan: Ascentium Capital, AMORTIZING. Source: Loan 48 - data/loans.md</t>
      </text>
    </comment>
    <comment ref="E30" authorId="0" shapeId="0">
      <text>
        <t>Loan: Ascentium Capital, AMORTIZING. Source: Loan 48 - data/loans.md</t>
      </text>
    </comment>
    <comment ref="F30" authorId="0" shapeId="0">
      <text>
        <t>Loan: Ascentium Capital, AMORTIZING. Source: Loan 48 - data/loans.md</t>
      </text>
    </comment>
    <comment ref="C31" authorId="0" shapeId="0">
      <text>
        <t>Loan: Ascentium Capital, AMORTIZING. Source: Loan 48 - data/loans.md</t>
      </text>
    </comment>
    <comment ref="D31" authorId="0" shapeId="0">
      <text>
        <t>Loan: Ascentium Capital, AMORTIZING. Source: Loan 48 - data/loans.md</t>
      </text>
    </comment>
    <comment ref="E31" authorId="0" shapeId="0">
      <text>
        <t>Loan: Ascentium Capital, AMORTIZING. Source: Loan 48 - data/loans.md</t>
      </text>
    </comment>
    <comment ref="F31" authorId="0" shapeId="0">
      <text>
        <t>Loan: Ascentium Capital, AMORTIZING. Source: Loan 48 - data/loans.md</t>
      </text>
    </comment>
    <comment ref="C32" authorId="0" shapeId="0">
      <text>
        <t>Loan: Ascentium Capital, AMORTIZING. Source: Loan 48 - data/loans.md</t>
      </text>
    </comment>
    <comment ref="D32" authorId="0" shapeId="0">
      <text>
        <t>Loan: Ascentium Capital, AMORTIZING. Source: Loan 48 - data/loans.md</t>
      </text>
    </comment>
    <comment ref="E32" authorId="0" shapeId="0">
      <text>
        <t>Loan: Ascentium Capital, AMORTIZING. Source: Loan 48 - data/loans.md</t>
      </text>
    </comment>
    <comment ref="F32" authorId="0" shapeId="0">
      <text>
        <t>Loan: Ascentium Capital, AMORTIZING. Source: Loan 48 - data/loans.md</t>
      </text>
    </comment>
    <comment ref="C33" authorId="0" shapeId="0">
      <text>
        <t>Loan: Ascentium Capital, AMORTIZING. Source: Loan 48 - data/loans.md</t>
      </text>
    </comment>
    <comment ref="D33" authorId="0" shapeId="0">
      <text>
        <t>Loan: Ascentium Capital, AMORTIZING. Source: Loan 48 - data/loans.md</t>
      </text>
    </comment>
    <comment ref="E33" authorId="0" shapeId="0">
      <text>
        <t>Loan: Ascentium Capital, AMORTIZING. Source: Loan 48 - data/loans.md</t>
      </text>
    </comment>
    <comment ref="F33" authorId="0" shapeId="0">
      <text>
        <t>Loan: Ascentium Capital, AMORTIZING. Source: Loan 48 - data/loans.md</t>
      </text>
    </comment>
    <comment ref="C34" authorId="0" shapeId="0">
      <text>
        <t>Loan: Ascentium Capital, AMORTIZING. Source: Loan 48 - data/loans.md</t>
      </text>
    </comment>
    <comment ref="D34" authorId="0" shapeId="0">
      <text>
        <t>Loan: Ascentium Capital, AMORTIZING. Source: Loan 48 - data/loans.md</t>
      </text>
    </comment>
    <comment ref="E34" authorId="0" shapeId="0">
      <text>
        <t>Loan: Ascentium Capital, AMORTIZING. Source: Loan 48 - data/loans.md</t>
      </text>
    </comment>
    <comment ref="F34" authorId="0" shapeId="0">
      <text>
        <t>Loan: Ascentium Capital, AMORTIZING. Source: Loan 48 - data/loans.md</t>
      </text>
    </comment>
    <comment ref="C35" authorId="0" shapeId="0">
      <text>
        <t>Loan: Ascentium Capital, AMORTIZING. Source: Loan 48 - data/loans.md</t>
      </text>
    </comment>
    <comment ref="D35" authorId="0" shapeId="0">
      <text>
        <t>Loan: Ascentium Capital, AMORTIZING. Source: Loan 48 - data/loans.md</t>
      </text>
    </comment>
    <comment ref="E35" authorId="0" shapeId="0">
      <text>
        <t>Loan: Ascentium Capital, AMORTIZING. Source: Loan 48 - data/loans.md</t>
      </text>
    </comment>
    <comment ref="F35" authorId="0" shapeId="0">
      <text>
        <t>Loan: Ascentium Capital, AMORTIZING. Source: Loan 48 - data/loans.md</t>
      </text>
    </comment>
    <comment ref="C36" authorId="0" shapeId="0">
      <text>
        <t>Loan: Ascentium Capital, AMORTIZING. Source: Loan 48 - data/loans.md</t>
      </text>
    </comment>
    <comment ref="D36" authorId="0" shapeId="0">
      <text>
        <t>Loan: Ascentium Capital, AMORTIZING. Source: Loan 48 - data/loans.md</t>
      </text>
    </comment>
    <comment ref="E36" authorId="0" shapeId="0">
      <text>
        <t>Loan: Ascentium Capital, AMORTIZING. Source: Loan 48 - data/loans.md</t>
      </text>
    </comment>
    <comment ref="F36" authorId="0" shapeId="0">
      <text>
        <t>Loan: Ascentium Capital, AMORTIZING. Source: Loan 48 - data/loans.md</t>
      </text>
    </comment>
    <comment ref="C37" authorId="0" shapeId="0">
      <text>
        <t>Loan: Ascentium Capital, AMORTIZING. Source: Loan 48 - data/loans.md</t>
      </text>
    </comment>
    <comment ref="D37" authorId="0" shapeId="0">
      <text>
        <t>Loan: Ascentium Capital, AMORTIZING. Source: Loan 48 - data/loans.md</t>
      </text>
    </comment>
    <comment ref="E37" authorId="0" shapeId="0">
      <text>
        <t>Loan: Ascentium Capital, AMORTIZING. Source: Loan 48 - data/loans.md</t>
      </text>
    </comment>
    <comment ref="F37" authorId="0" shapeId="0">
      <text>
        <t>Loan: Ascentium Capital, AMORTIZING. Source: Loan 48 - data/loans.md</t>
      </text>
    </comment>
    <comment ref="C38" authorId="0" shapeId="0">
      <text>
        <t>Loan: Ascentium Capital, AMORTIZING. Source: Loan 48 - data/loans.md</t>
      </text>
    </comment>
    <comment ref="D38" authorId="0" shapeId="0">
      <text>
        <t>Loan: Ascentium Capital, AMORTIZING. Source: Loan 48 - data/loans.md</t>
      </text>
    </comment>
    <comment ref="E38" authorId="0" shapeId="0">
      <text>
        <t>Loan: Ascentium Capital, AMORTIZING. Source: Loan 48 - data/loans.md</t>
      </text>
    </comment>
    <comment ref="F38" authorId="0" shapeId="0">
      <text>
        <t>Loan: Ascentium Capital, AMORTIZING. Source: Loan 48 - data/loans.md</t>
      </text>
    </comment>
    <comment ref="C39" authorId="0" shapeId="0">
      <text>
        <t>Loan: Ascentium Capital, AMORTIZING. Source: Loan 48 - data/loans.md</t>
      </text>
    </comment>
    <comment ref="D39" authorId="0" shapeId="0">
      <text>
        <t>Loan: Ascentium Capital, AMORTIZING. Source: Loan 48 - data/loans.md</t>
      </text>
    </comment>
    <comment ref="E39" authorId="0" shapeId="0">
      <text>
        <t>Loan: Ascentium Capital, AMORTIZING. Source: Loan 48 - data/loans.md</t>
      </text>
    </comment>
    <comment ref="F39" authorId="0" shapeId="0">
      <text>
        <t>Loan: Ascentium Capital, AMORTIZING. Source: Loan 48 - data/loans.md</t>
      </text>
    </comment>
    <comment ref="C40" authorId="0" shapeId="0">
      <text>
        <t>Loan: Ascentium Capital, AMORTIZING. Source: Loan 48 - data/loans.md</t>
      </text>
    </comment>
    <comment ref="D40" authorId="0" shapeId="0">
      <text>
        <t>Loan: Ascentium Capital, AMORTIZING. Source: Loan 48 - data/loans.md</t>
      </text>
    </comment>
    <comment ref="E40" authorId="0" shapeId="0">
      <text>
        <t>Loan: Ascentium Capital, AMORTIZING. Source: Loan 48 - data/loans.md</t>
      </text>
    </comment>
    <comment ref="F40" authorId="0" shapeId="0">
      <text>
        <t>Loan: Ascentium Capital, AMORTIZING. Source: Loan 48 - data/loans.md</t>
      </text>
    </comment>
    <comment ref="C41" authorId="0" shapeId="0">
      <text>
        <t>Loan: Ascentium Capital, AMORTIZING. Source: Loan 48 - data/loans.md</t>
      </text>
    </comment>
    <comment ref="D41" authorId="0" shapeId="0">
      <text>
        <t>Loan: Ascentium Capital, AMORTIZING. Source: Loan 48 - data/loans.md</t>
      </text>
    </comment>
    <comment ref="E41" authorId="0" shapeId="0">
      <text>
        <t>Loan: Ascentium Capital, AMORTIZING. Source: Loan 48 - data/loans.md</t>
      </text>
    </comment>
    <comment ref="F41" authorId="0" shapeId="0">
      <text>
        <t>Loan: Ascentium Capital, AMORTIZING. Source: Loan 48 - data/loans.md</t>
      </text>
    </comment>
    <comment ref="C42" authorId="0" shapeId="0">
      <text>
        <t>Loan: Ascentium Capital, AMORTIZING. Source: Loan 48 - data/loans.md</t>
      </text>
    </comment>
    <comment ref="D42" authorId="0" shapeId="0">
      <text>
        <t>Loan: Ascentium Capital, AMORTIZING. Source: Loan 48 - data/loans.md</t>
      </text>
    </comment>
    <comment ref="E42" authorId="0" shapeId="0">
      <text>
        <t>Loan: Ascentium Capital, AMORTIZING. Source: Loan 48 - data/loans.md</t>
      </text>
    </comment>
    <comment ref="F42" authorId="0" shapeId="0">
      <text>
        <t>Loan: Ascentium Capital, AMORTIZING. Source: Loan 48 - data/loans.md</t>
      </text>
    </comment>
    <comment ref="C43" authorId="0" shapeId="0">
      <text>
        <t>Loan: Ascentium Capital, AMORTIZING. Source: Loan 48 - data/loans.md</t>
      </text>
    </comment>
    <comment ref="D43" authorId="0" shapeId="0">
      <text>
        <t>Loan: Ascentium Capital, AMORTIZING. Source: Loan 48 - data/loans.md</t>
      </text>
    </comment>
    <comment ref="E43" authorId="0" shapeId="0">
      <text>
        <t>Loan: Ascentium Capital, AMORTIZING. Source: Loan 48 - data/loans.md</t>
      </text>
    </comment>
    <comment ref="F43" authorId="0" shapeId="0">
      <text>
        <t>Loan: Ascentium Capital, AMORTIZING. Source: Loan 48 - data/loans.md</t>
      </text>
    </comment>
    <comment ref="C44" authorId="0" shapeId="0">
      <text>
        <t>Loan: Ascentium Capital, AMORTIZING. Source: Loan 48 - data/loans.md</t>
      </text>
    </comment>
    <comment ref="D44" authorId="0" shapeId="0">
      <text>
        <t>Loan: Ascentium Capital, AMORTIZING. Source: Loan 48 - data/loans.md</t>
      </text>
    </comment>
    <comment ref="E44" authorId="0" shapeId="0">
      <text>
        <t>Loan: Ascentium Capital, AMORTIZING. Source: Loan 48 - data/loans.md</t>
      </text>
    </comment>
    <comment ref="F44" authorId="0" shapeId="0">
      <text>
        <t>Loan: Ascentium Capital, AMORTIZING. Source: Loan 48 - data/loans.md</t>
      </text>
    </comment>
    <comment ref="C45" authorId="0" shapeId="0">
      <text>
        <t>Loan: Ascentium Capital, AMORTIZING. Source: Loan 48 - data/loans.md</t>
      </text>
    </comment>
    <comment ref="D45" authorId="0" shapeId="0">
      <text>
        <t>Loan: Ascentium Capital, AMORTIZING. Source: Loan 48 - data/loans.md</t>
      </text>
    </comment>
    <comment ref="E45" authorId="0" shapeId="0">
      <text>
        <t>Loan: Ascentium Capital, AMORTIZING. Source: Loan 48 - data/loans.md</t>
      </text>
    </comment>
    <comment ref="F45" authorId="0" shapeId="0">
      <text>
        <t>Loan: Ascentium Capital, AMORTIZING. Source: Loan 48 - data/loans.md</t>
      </text>
    </comment>
    <comment ref="C46" authorId="0" shapeId="0">
      <text>
        <t>Loan: Ascentium Capital, AMORTIZING. Source: Loan 48 - data/loans.md</t>
      </text>
    </comment>
    <comment ref="D46" authorId="0" shapeId="0">
      <text>
        <t>Loan: Ascentium Capital, AMORTIZING. Source: Loan 48 - data/loans.md</t>
      </text>
    </comment>
    <comment ref="E46" authorId="0" shapeId="0">
      <text>
        <t>Loan: Ascentium Capital, AMORTIZING. Source: Loan 48 - data/loans.md</t>
      </text>
    </comment>
    <comment ref="F46" authorId="0" shapeId="0">
      <text>
        <t>Loan: Ascentium Capital, AMORTIZING. Source: Loan 48 - data/loans.md</t>
      </text>
    </comment>
    <comment ref="C47" authorId="0" shapeId="0">
      <text>
        <t>Loan: Ascentium Capital, AMORTIZING. Source: Loan 48 - data/loans.md</t>
      </text>
    </comment>
    <comment ref="D47" authorId="0" shapeId="0">
      <text>
        <t>Loan: Ascentium Capital, AMORTIZING. Source: Loan 48 - data/loans.md</t>
      </text>
    </comment>
    <comment ref="E47" authorId="0" shapeId="0">
      <text>
        <t>Loan: Ascentium Capital, AMORTIZING. Source: Loan 48 - data/loans.md</t>
      </text>
    </comment>
    <comment ref="F47" authorId="0" shapeId="0">
      <text>
        <t>Loan: Ascentium Capital, AMORTIZING. Source: Loan 48 - data/loans.md</t>
      </text>
    </comment>
    <comment ref="C48" authorId="0" shapeId="0">
      <text>
        <t>Loan: Ascentium Capital, AMORTIZING. Source: Loan 48 - data/loans.md</t>
      </text>
    </comment>
    <comment ref="D48" authorId="0" shapeId="0">
      <text>
        <t>Loan: Ascentium Capital, AMORTIZING. Source: Loan 48 - data/loans.md</t>
      </text>
    </comment>
    <comment ref="E48" authorId="0" shapeId="0">
      <text>
        <t>Loan: Ascentium Capital, AMORTIZING. Source: Loan 48 - data/loans.md</t>
      </text>
    </comment>
    <comment ref="F48" authorId="0" shapeId="0">
      <text>
        <t>Loan: Ascentium Capital, AMORTIZING. Source: Loan 48 - data/loans.md</t>
      </text>
    </comment>
    <comment ref="C49" authorId="0" shapeId="0">
      <text>
        <t>Loan: Ascentium Capital, AMORTIZING. Source: Loan 48 - data/loans.md</t>
      </text>
    </comment>
    <comment ref="D49" authorId="0" shapeId="0">
      <text>
        <t>Loan: Ascentium Capital, AMORTIZING. Source: Loan 48 - data/loans.md</t>
      </text>
    </comment>
    <comment ref="E49" authorId="0" shapeId="0">
      <text>
        <t>Loan: Ascentium Capital, AMORTIZING. Source: Loan 48 - data/loans.md</t>
      </text>
    </comment>
    <comment ref="F49" authorId="0" shapeId="0">
      <text>
        <t>Loan: Ascentium Capital, AMORTIZING. Source: Loan 48 - data/loans.md</t>
      </text>
    </comment>
    <comment ref="C50" authorId="0" shapeId="0">
      <text>
        <t>Loan: Ascentium Capital, AMORTIZING. Source: Loan 48 - data/loans.md</t>
      </text>
    </comment>
    <comment ref="D50" authorId="0" shapeId="0">
      <text>
        <t>Loan: Ascentium Capital, AMORTIZING. Source: Loan 48 - data/loans.md</t>
      </text>
    </comment>
    <comment ref="E50" authorId="0" shapeId="0">
      <text>
        <t>Loan: Ascentium Capital, AMORTIZING. Source: Loan 48 - data/loans.md</t>
      </text>
    </comment>
    <comment ref="F50" authorId="0" shapeId="0">
      <text>
        <t>Loan: Ascentium Capital, AMORTIZING. Source: Loan 48 - data/loans.md</t>
      </text>
    </comment>
    <comment ref="C51" authorId="0" shapeId="0">
      <text>
        <t>Loan: Ascentium Capital, AMORTIZING. Source: Loan 48 - data/loans.md</t>
      </text>
    </comment>
    <comment ref="D51" authorId="0" shapeId="0">
      <text>
        <t>Loan: Ascentium Capital, AMORTIZING. Source: Loan 48 - data/loans.md</t>
      </text>
    </comment>
    <comment ref="E51" authorId="0" shapeId="0">
      <text>
        <t>Loan: Ascentium Capital, AMORTIZING. Source: Loan 48 - data/loans.md</t>
      </text>
    </comment>
    <comment ref="F51" authorId="0" shapeId="0">
      <text>
        <t>Loan: Ascentium Capital, AMORTIZING. Source: Loan 48 - data/loans.md</t>
      </text>
    </comment>
    <comment ref="C52" authorId="0" shapeId="0">
      <text>
        <t>Loan: Ascentium Capital, AMORTIZING. Source: Loan 48 - data/loans.md</t>
      </text>
    </comment>
    <comment ref="D52" authorId="0" shapeId="0">
      <text>
        <t>Loan: Ascentium Capital, AMORTIZING. Source: Loan 48 - data/loans.md</t>
      </text>
    </comment>
    <comment ref="E52" authorId="0" shapeId="0">
      <text>
        <t>Loan: Ascentium Capital, AMORTIZING. Source: Loan 48 - data/loans.md</t>
      </text>
    </comment>
    <comment ref="F52" authorId="0" shapeId="0">
      <text>
        <t>Loan: Ascentium Capital, AMORTIZING. Source: Loan 48 - data/loans.md</t>
      </text>
    </comment>
    <comment ref="C53" authorId="0" shapeId="0">
      <text>
        <t>Loan: Ascentium Capital, AMORTIZING. Source: Loan 48 - data/loans.md</t>
      </text>
    </comment>
    <comment ref="D53" authorId="0" shapeId="0">
      <text>
        <t>Loan: Ascentium Capital, AMORTIZING. Source: Loan 48 - data/loans.md</t>
      </text>
    </comment>
    <comment ref="E53" authorId="0" shapeId="0">
      <text>
        <t>Loan: Ascentium Capital, AMORTIZING. Source: Loan 48 - data/loans.md</t>
      </text>
    </comment>
    <comment ref="F53" authorId="0" shapeId="0">
      <text>
        <t>Loan: Ascentium Capital, AMORTIZING. Source: Loan 48 - data/loans.md</t>
      </text>
    </comment>
    <comment ref="C54" authorId="0" shapeId="0">
      <text>
        <t>Loan: Ascentium Capital, AMORTIZING. Source: Loan 48 - data/loans.md</t>
      </text>
    </comment>
    <comment ref="D54" authorId="0" shapeId="0">
      <text>
        <t>Loan: Ascentium Capital, AMORTIZING. Source: Loan 48 - data/loans.md</t>
      </text>
    </comment>
    <comment ref="E54" authorId="0" shapeId="0">
      <text>
        <t>Loan: Ascentium Capital, AMORTIZING. Source: Loan 48 - data/loans.md</t>
      </text>
    </comment>
    <comment ref="F54" authorId="0" shapeId="0">
      <text>
        <t>Loan: Ascentium Capital, AMORTIZING. Source: Loan 48 - data/loans.md</t>
      </text>
    </comment>
    <comment ref="C55" authorId="0" shapeId="0">
      <text>
        <t>Loan: Ascentium Capital, AMORTIZING. Source: Loan 48 - data/loans.md</t>
      </text>
    </comment>
    <comment ref="D55" authorId="0" shapeId="0">
      <text>
        <t>Loan: Ascentium Capital, AMORTIZING. Source: Loan 48 - data/loans.md</t>
      </text>
    </comment>
    <comment ref="E55" authorId="0" shapeId="0">
      <text>
        <t>Loan: Ascentium Capital, AMORTIZING. Source: Loan 48 - data/loans.md</t>
      </text>
    </comment>
    <comment ref="F55" authorId="0" shapeId="0">
      <text>
        <t>Loan: Ascentium Capital, AMORTIZING. Source: Loan 48 - data/loans.md</t>
      </text>
    </comment>
    <comment ref="C56" authorId="0" shapeId="0">
      <text>
        <t>Loan: Ascentium Capital, AMORTIZING. Source: Loan 48 - data/loans.md</t>
      </text>
    </comment>
    <comment ref="D56" authorId="0" shapeId="0">
      <text>
        <t>Loan: Ascentium Capital, AMORTIZING. Source: Loan 48 - data/loans.md</t>
      </text>
    </comment>
    <comment ref="E56" authorId="0" shapeId="0">
      <text>
        <t>Loan: Ascentium Capital, AMORTIZING. Source: Loan 48 - data/loans.md</t>
      </text>
    </comment>
    <comment ref="F56" authorId="0" shapeId="0">
      <text>
        <t>Loan: Ascentium Capital, AMORTIZING. Source: Loan 48 - data/loans.md</t>
      </text>
    </comment>
    <comment ref="C57" authorId="0" shapeId="0">
      <text>
        <t>Loan: Ascentium Capital, AMORTIZING. Source: Loan 48 - data/loans.md</t>
      </text>
    </comment>
    <comment ref="D57" authorId="0" shapeId="0">
      <text>
        <t>Loan: Ascentium Capital, AMORTIZING. Source: Loan 48 - data/loans.md</t>
      </text>
    </comment>
    <comment ref="E57" authorId="0" shapeId="0">
      <text>
        <t>Loan: Ascentium Capital, AMORTIZING. Source: Loan 48 - data/loans.md</t>
      </text>
    </comment>
    <comment ref="F57" authorId="0" shapeId="0">
      <text>
        <t>Loan: Ascentium Capital, AMORTIZING. Source: Loan 48 - data/loans.md</t>
      </text>
    </comment>
    <comment ref="C58" authorId="0" shapeId="0">
      <text>
        <t>Loan: Ascentium Capital, AMORTIZING. Source: Loan 48 - data/loans.md</t>
      </text>
    </comment>
    <comment ref="D58" authorId="0" shapeId="0">
      <text>
        <t>Loan: Ascentium Capital, AMORTIZING. Source: Loan 48 - data/loans.md</t>
      </text>
    </comment>
    <comment ref="E58" authorId="0" shapeId="0">
      <text>
        <t>Loan: Ascentium Capital, AMORTIZING. Source: Loan 48 - data/loans.md</t>
      </text>
    </comment>
    <comment ref="F58" authorId="0" shapeId="0">
      <text>
        <t>Loan: Ascentium Capital, AMORTIZING. Source: Loan 48 - data/loans.md</t>
      </text>
    </comment>
    <comment ref="C59" authorId="0" shapeId="0">
      <text>
        <t>Loan: Ascentium Capital, AMORTIZING. Source: Loan 48 - data/loans.md</t>
      </text>
    </comment>
    <comment ref="D59" authorId="0" shapeId="0">
      <text>
        <t>Loan: Ascentium Capital, AMORTIZING. Source: Loan 48 - data/loans.md</t>
      </text>
    </comment>
    <comment ref="E59" authorId="0" shapeId="0">
      <text>
        <t>Loan: Ascentium Capital, AMORTIZING. Source: Loan 48 - data/loans.md</t>
      </text>
    </comment>
    <comment ref="F59" authorId="0" shapeId="0">
      <text>
        <t>Loan: Ascentium Capital, AMORTIZING. Source: Loan 48 - data/loans.md</t>
      </text>
    </comment>
    <comment ref="C60" authorId="0" shapeId="0">
      <text>
        <t>Loan: Ascentium Capital, AMORTIZING. Source: Loan 48 - data/loans.md</t>
      </text>
    </comment>
    <comment ref="D60" authorId="0" shapeId="0">
      <text>
        <t>Loan: Ascentium Capital, AMORTIZING. Source: Loan 48 - data/loans.md</t>
      </text>
    </comment>
    <comment ref="E60" authorId="0" shapeId="0">
      <text>
        <t>Loan: Ascentium Capital, AMORTIZING. Source: Loan 48 - data/loans.md</t>
      </text>
    </comment>
    <comment ref="F60" authorId="0" shapeId="0">
      <text>
        <t>Loan: Ascentium Capital, AMORTIZING. Source: Loan 48 - data/loans.md</t>
      </text>
    </comment>
    <comment ref="C61" authorId="0" shapeId="0">
      <text>
        <t>Loan: Ascentium Capital, AMORTIZING. Source: Loan 48 - data/loans.md</t>
      </text>
    </comment>
    <comment ref="D61" authorId="0" shapeId="0">
      <text>
        <t>Loan: Ascentium Capital, AMORTIZING. Source: Loan 48 - data/loans.md</t>
      </text>
    </comment>
    <comment ref="E61" authorId="0" shapeId="0">
      <text>
        <t>Loan: Ascentium Capital, AMORTIZING. Source: Loan 48 - data/loans.md</t>
      </text>
    </comment>
    <comment ref="F61" authorId="0" shapeId="0">
      <text>
        <t>Loan: Ascentium Capital, AMORTIZING. Source: Loan 48 - data/loans.md</t>
      </text>
    </comment>
    <comment ref="C62" authorId="0" shapeId="0">
      <text>
        <t>Loan: Ascentium Capital, AMORTIZING. Source: Loan 48 - data/loans.md</t>
      </text>
    </comment>
    <comment ref="D62" authorId="0" shapeId="0">
      <text>
        <t>Loan: Ascentium Capital, AMORTIZING. Source: Loan 48 - data/loans.md</t>
      </text>
    </comment>
    <comment ref="E62" authorId="0" shapeId="0">
      <text>
        <t>Loan: Ascentium Capital, AMORTIZING. Source: Loan 48 - data/loans.md</t>
      </text>
    </comment>
    <comment ref="F62" authorId="0" shapeId="0">
      <text>
        <t>Loan: Ascentium Capital, AMORTIZING. Source: Loan 48 - data/loans.md</t>
      </text>
    </comment>
    <comment ref="C63" authorId="0" shapeId="0">
      <text>
        <t>Loan: Ascentium Capital, AMORTIZING. Source: Loan 48 - data/loans.md</t>
      </text>
    </comment>
    <comment ref="D63" authorId="0" shapeId="0">
      <text>
        <t>Loan: Ascentium Capital, AMORTIZING. Source: Loan 48 - data/loans.md</t>
      </text>
    </comment>
    <comment ref="E63" authorId="0" shapeId="0">
      <text>
        <t>Loan: Ascentium Capital, AMORTIZING. Source: Loan 48 - data/loans.md</t>
      </text>
    </comment>
    <comment ref="F63" authorId="0" shapeId="0">
      <text>
        <t>Loan: Ascentium Capital, AMORTIZING. Source: Loan 48 - data/loans.md</t>
      </text>
    </comment>
    <comment ref="C64" authorId="0" shapeId="0">
      <text>
        <t>Loan: Ascentium Capital, AMORTIZING. Source: Loan 48 - data/loans.md</t>
      </text>
    </comment>
    <comment ref="D64" authorId="0" shapeId="0">
      <text>
        <t>Loan: Ascentium Capital, AMORTIZING. Source: Loan 48 - data/loans.md</t>
      </text>
    </comment>
    <comment ref="E64" authorId="0" shapeId="0">
      <text>
        <t>Loan: Ascentium Capital, AMORTIZING. Source: Loan 48 - data/loans.md</t>
      </text>
    </comment>
    <comment ref="F64" authorId="0" shapeId="0">
      <text>
        <t>Loan: Ascentium Capital, AMORTIZING. Source: Loan 48 - data/loans.md</t>
      </text>
    </comment>
    <comment ref="C65" authorId="0" shapeId="0">
      <text>
        <t>Loan: Ascentium Capital, AMORTIZING. Source: Loan 48 - data/loans.md</t>
      </text>
    </comment>
    <comment ref="D65" authorId="0" shapeId="0">
      <text>
        <t>Loan: Ascentium Capital, AMORTIZING. Source: Loan 48 - data/loans.md</t>
      </text>
    </comment>
    <comment ref="E65" authorId="0" shapeId="0">
      <text>
        <t>Loan: Ascentium Capital, AMORTIZING. Source: Loan 48 - data/loans.md</t>
      </text>
    </comment>
    <comment ref="F65" authorId="0" shapeId="0">
      <text>
        <t>Loan: Ascentium Capital, AMORTIZING. Source: Loan 48 - data/loans.md</t>
      </text>
    </comment>
    <comment ref="C66" authorId="0" shapeId="0">
      <text>
        <t>Loan: Ascentium Capital, AMORTIZING. Source: Loan 48 - data/loans.md</t>
      </text>
    </comment>
    <comment ref="D66" authorId="0" shapeId="0">
      <text>
        <t>Loan: Ascentium Capital, AMORTIZING. Source: Loan 48 - data/loans.md</t>
      </text>
    </comment>
    <comment ref="E66" authorId="0" shapeId="0">
      <text>
        <t>Loan: Ascentium Capital, AMORTIZING. Source: Loan 48 - data/loans.md</t>
      </text>
    </comment>
    <comment ref="F66" authorId="0" shapeId="0">
      <text>
        <t>Loan: Ascentium Capital, AMORTIZING. Source: Loan 48 - data/loans.md</t>
      </text>
    </comment>
    <comment ref="C67" authorId="0" shapeId="0">
      <text>
        <t>Loan: Ascentium Capital, AMORTIZING. Source: Loan 48 - data/loans.md</t>
      </text>
    </comment>
    <comment ref="D67" authorId="0" shapeId="0">
      <text>
        <t>Loan: Ascentium Capital, AMORTIZING. Source: Loan 48 - data/loans.md</t>
      </text>
    </comment>
    <comment ref="E67" authorId="0" shapeId="0">
      <text>
        <t>Loan: Ascentium Capital, AMORTIZING. Source: Loan 48 - data/loans.md</t>
      </text>
    </comment>
    <comment ref="F67" authorId="0" shapeId="0">
      <text>
        <t>Loan: Ascentium Capital, AMORTIZING. Source: Loan 48 - data/loans.md</t>
      </text>
    </comment>
    <comment ref="C68" authorId="0" shapeId="0">
      <text>
        <t>Loan: Ascentium Capital, AMORTIZING. Source: Loan 48 - data/loans.md</t>
      </text>
    </comment>
    <comment ref="D68" authorId="0" shapeId="0">
      <text>
        <t>Loan: Ascentium Capital, AMORTIZING. Source: Loan 48 - data/loans.md</t>
      </text>
    </comment>
    <comment ref="E68" authorId="0" shapeId="0">
      <text>
        <t>Loan: Ascentium Capital, AMORTIZING. Source: Loan 48 - data/loans.md</t>
      </text>
    </comment>
    <comment ref="F68" authorId="0" shapeId="0">
      <text>
        <t>Loan: Ascentium Capital, AMORTIZING. Source: Loan 48 - data/loans.md</t>
      </text>
    </comment>
    <comment ref="C69" authorId="0" shapeId="0">
      <text>
        <t>Loan: Ascentium Capital, AMORTIZING. Source: Loan 48 - data/loans.md</t>
      </text>
    </comment>
    <comment ref="D69" authorId="0" shapeId="0">
      <text>
        <t>Loan: Ascentium Capital, AMORTIZING. Source: Loan 48 - data/loans.md</t>
      </text>
    </comment>
    <comment ref="E69" authorId="0" shapeId="0">
      <text>
        <t>Loan: Ascentium Capital, AMORTIZING. Source: Loan 48 - data/loans.md</t>
      </text>
    </comment>
    <comment ref="F69" authorId="0" shapeId="0">
      <text>
        <t>Loan: Ascentium Capital, AMORTIZING. Source: Loan 48 - data/loans.md</t>
      </text>
    </comment>
    <comment ref="C70" authorId="0" shapeId="0">
      <text>
        <t>Loan: Ascentium Capital, AMORTIZING. Source: Loan 48 - data/loans.md</t>
      </text>
    </comment>
    <comment ref="D70" authorId="0" shapeId="0">
      <text>
        <t>Loan: Ascentium Capital, AMORTIZING. Source: Loan 48 - data/loans.md</t>
      </text>
    </comment>
    <comment ref="E70" authorId="0" shapeId="0">
      <text>
        <t>Loan: Ascentium Capital, AMORTIZING. Source: Loan 48 - data/loans.md</t>
      </text>
    </comment>
    <comment ref="F70" authorId="0" shapeId="0">
      <text>
        <t>Loan: Ascentium Capital, AMORTIZING. Source: Loan 48 - data/loans.md</t>
      </text>
    </comment>
    <comment ref="C71" authorId="0" shapeId="0">
      <text>
        <t>Loan: Ascentium Capital, AMORTIZING. Source: Loan 48 - data/loans.md</t>
      </text>
    </comment>
    <comment ref="D71" authorId="0" shapeId="0">
      <text>
        <t>Loan: Ascentium Capital, AMORTIZING. Source: Loan 48 - data/loans.md</t>
      </text>
    </comment>
    <comment ref="E71" authorId="0" shapeId="0">
      <text>
        <t>Loan: Ascentium Capital, AMORTIZING. Source: Loan 48 - data/loans.md</t>
      </text>
    </comment>
    <comment ref="F71" authorId="0" shapeId="0">
      <text>
        <t>Loan: Ascentium Capital, AMORTIZING. Source: Loan 48 - data/loans.md</t>
      </text>
    </comment>
    <comment ref="C72" authorId="0" shapeId="0">
      <text>
        <t>Loan: Ascentium Capital, AMORTIZING. Source: Loan 48 - data/loans.md</t>
      </text>
    </comment>
    <comment ref="D72" authorId="0" shapeId="0">
      <text>
        <t>Loan: Ascentium Capital, AMORTIZING. Source: Loan 48 - data/loans.md</t>
      </text>
    </comment>
    <comment ref="E72" authorId="0" shapeId="0">
      <text>
        <t>Loan: Ascentium Capital, AMORTIZING. Source: Loan 48 - data/loans.md</t>
      </text>
    </comment>
    <comment ref="F72" authorId="0" shapeId="0">
      <text>
        <t>Loan: Ascentium Capital, AMORTIZING. Source: Loan 48 - data/loans.md</t>
      </text>
    </comment>
    <comment ref="C73" authorId="0" shapeId="0">
      <text>
        <t>Loan: Ascentium Capital, AMORTIZING. Source: Loan 48 - data/loans.md</t>
      </text>
    </comment>
    <comment ref="D73" authorId="0" shapeId="0">
      <text>
        <t>Loan: Ascentium Capital, AMORTIZING. Source: Loan 48 - data/loans.md</t>
      </text>
    </comment>
    <comment ref="E73" authorId="0" shapeId="0">
      <text>
        <t>Loan: Ascentium Capital, AMORTIZING. Source: Loan 48 - data/loans.md</t>
      </text>
    </comment>
    <comment ref="F73" authorId="0" shapeId="0">
      <text>
        <t>Loan: Ascentium Capital, AMORTIZING. Source: Loan 48 - data/loans.md</t>
      </text>
    </comment>
    <comment ref="C74" authorId="0" shapeId="0">
      <text>
        <t>Loan: Ascentium Capital, AMORTIZING. Source: Loan 48 - data/loans.md</t>
      </text>
    </comment>
    <comment ref="D74" authorId="0" shapeId="0">
      <text>
        <t>Loan: Ascentium Capital, AMORTIZING. Source: Loan 48 - data/loans.md</t>
      </text>
    </comment>
    <comment ref="E74" authorId="0" shapeId="0">
      <text>
        <t>Loan: Ascentium Capital, AMORTIZING. Source: Loan 48 - data/loans.md</t>
      </text>
    </comment>
    <comment ref="F74" authorId="0" shapeId="0">
      <text>
        <t>Loan: Ascentium Capital, AMORTIZING. Source: Loan 48 - data/loans.md</t>
      </text>
    </comment>
    <comment ref="B79" authorId="0" shapeId="0">
      <text>
        <t>Sum of rows 21-32: Opening balance for 2026</t>
      </text>
    </comment>
    <comment ref="C79" authorId="0" shapeId="0">
      <text>
        <t>Sum of rows 21-32: Total interest for 2026</t>
      </text>
    </comment>
    <comment ref="D79" authorId="0" shapeId="0">
      <text>
        <t>Sum of rows 21-32: Total principal for 2026</t>
      </text>
    </comment>
    <comment ref="E79" authorId="0" shapeId="0">
      <text>
        <t>Sum of rows 21-32: Closing balance for 2026</t>
      </text>
    </comment>
    <comment ref="B80" authorId="0" shapeId="0">
      <text>
        <t>Sum of rows 33-44: Opening balance for 2027</t>
      </text>
    </comment>
    <comment ref="C80" authorId="0" shapeId="0">
      <text>
        <t>Sum of rows 33-44: Total interest for 2027</t>
      </text>
    </comment>
    <comment ref="D80" authorId="0" shapeId="0">
      <text>
        <t>Sum of rows 33-44: Total principal for 2027</t>
      </text>
    </comment>
    <comment ref="E80" authorId="0" shapeId="0">
      <text>
        <t>Sum of rows 33-44: Closing balance for 2027</t>
      </text>
    </comment>
    <comment ref="B81" authorId="0" shapeId="0">
      <text>
        <t>Sum of rows 45-56: Opening balance for 2028</t>
      </text>
    </comment>
    <comment ref="C81" authorId="0" shapeId="0">
      <text>
        <t>Sum of rows 45-56: Total interest for 2028</t>
      </text>
    </comment>
    <comment ref="D81" authorId="0" shapeId="0">
      <text>
        <t>Sum of rows 45-56: Total principal for 2028</t>
      </text>
    </comment>
    <comment ref="E81" authorId="0" shapeId="0">
      <text>
        <t>Sum of rows 45-56: Closing balance for 2028</t>
      </text>
    </comment>
    <comment ref="B84" authorId="0" shapeId="0">
      <text>
        <t>Reference cell for Debt Schedule linking. Links to: B10.</t>
      </text>
    </comment>
  </commentList>
</comments>
</file>

<file path=xl/comments/comment35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 49 - data/loans.md</t>
      </text>
    </comment>
    <comment ref="B9" authorId="0" shapeId="0">
      <text>
        <t>Source: Loan 49 - data/loans.md
Original loan amount at origination.</t>
      </text>
    </comment>
    <comment ref="B10" authorId="0" shapeId="0">
      <text>
        <t>Source: Loan 49 - data/loans.md
Balance as of 12/31/2025.</t>
      </text>
    </comment>
    <comment ref="B11" authorId="0" shapeId="0">
      <text>
        <t>Source: Loan 49 - data/loans.md
Annual interest rate.</t>
      </text>
    </comment>
    <comment ref="B12" authorId="0" shapeId="0">
      <text>
        <t>Source: Loan 49 - data/loans.md
Fixed monthly payment amount.</t>
      </text>
    </comment>
    <comment ref="C21" authorId="0" shapeId="0">
      <text>
        <t>Loan: Ascentium Capital, AMORTIZING. Source: Loan 49 - data/loans.md</t>
      </text>
    </comment>
    <comment ref="D21" authorId="0" shapeId="0">
      <text>
        <t>Loan: Ascentium Capital, AMORTIZING. Source: Loan 49 - data/loans.md</t>
      </text>
    </comment>
    <comment ref="E21" authorId="0" shapeId="0">
      <text>
        <t>Loan: Ascentium Capital, AMORTIZING. Source: Loan 49 - data/loans.md</t>
      </text>
    </comment>
    <comment ref="F21" authorId="0" shapeId="0">
      <text>
        <t>Loan: Ascentium Capital, AMORTIZING. Source: Loan 49 - data/loans.md</t>
      </text>
    </comment>
    <comment ref="C22" authorId="0" shapeId="0">
      <text>
        <t>Loan: Ascentium Capital, AMORTIZING. Source: Loan 49 - data/loans.md</t>
      </text>
    </comment>
    <comment ref="D22" authorId="0" shapeId="0">
      <text>
        <t>Loan: Ascentium Capital, AMORTIZING. Source: Loan 49 - data/loans.md</t>
      </text>
    </comment>
    <comment ref="E22" authorId="0" shapeId="0">
      <text>
        <t>Loan: Ascentium Capital, AMORTIZING. Source: Loan 49 - data/loans.md</t>
      </text>
    </comment>
    <comment ref="F22" authorId="0" shapeId="0">
      <text>
        <t>Loan: Ascentium Capital, AMORTIZING. Source: Loan 49 - data/loans.md</t>
      </text>
    </comment>
    <comment ref="C23" authorId="0" shapeId="0">
      <text>
        <t>Loan: Ascentium Capital, AMORTIZING. Source: Loan 49 - data/loans.md</t>
      </text>
    </comment>
    <comment ref="D23" authorId="0" shapeId="0">
      <text>
        <t>Loan: Ascentium Capital, AMORTIZING. Source: Loan 49 - data/loans.md</t>
      </text>
    </comment>
    <comment ref="E23" authorId="0" shapeId="0">
      <text>
        <t>Loan: Ascentium Capital, AMORTIZING. Source: Loan 49 - data/loans.md</t>
      </text>
    </comment>
    <comment ref="F23" authorId="0" shapeId="0">
      <text>
        <t>Loan: Ascentium Capital, AMORTIZING. Source: Loan 49 - data/loans.md</t>
      </text>
    </comment>
    <comment ref="C24" authorId="0" shapeId="0">
      <text>
        <t>Loan: Ascentium Capital, AMORTIZING. Source: Loan 49 - data/loans.md</t>
      </text>
    </comment>
    <comment ref="D24" authorId="0" shapeId="0">
      <text>
        <t>Loan: Ascentium Capital, AMORTIZING. Source: Loan 49 - data/loans.md</t>
      </text>
    </comment>
    <comment ref="E24" authorId="0" shapeId="0">
      <text>
        <t>Loan: Ascentium Capital, AMORTIZING. Source: Loan 49 - data/loans.md</t>
      </text>
    </comment>
    <comment ref="F24" authorId="0" shapeId="0">
      <text>
        <t>Loan: Ascentium Capital, AMORTIZING. Source: Loan 49 - data/loans.md</t>
      </text>
    </comment>
    <comment ref="C25" authorId="0" shapeId="0">
      <text>
        <t>Loan: Ascentium Capital, AMORTIZING. Source: Loan 49 - data/loans.md</t>
      </text>
    </comment>
    <comment ref="D25" authorId="0" shapeId="0">
      <text>
        <t>Loan: Ascentium Capital, AMORTIZING. Source: Loan 49 - data/loans.md</t>
      </text>
    </comment>
    <comment ref="E25" authorId="0" shapeId="0">
      <text>
        <t>Loan: Ascentium Capital, AMORTIZING. Source: Loan 49 - data/loans.md</t>
      </text>
    </comment>
    <comment ref="F25" authorId="0" shapeId="0">
      <text>
        <t>Loan: Ascentium Capital, AMORTIZING. Source: Loan 49 - data/loans.md</t>
      </text>
    </comment>
    <comment ref="C26" authorId="0" shapeId="0">
      <text>
        <t>Loan: Ascentium Capital, AMORTIZING. Source: Loan 49 - data/loans.md</t>
      </text>
    </comment>
    <comment ref="D26" authorId="0" shapeId="0">
      <text>
        <t>Loan: Ascentium Capital, AMORTIZING. Source: Loan 49 - data/loans.md</t>
      </text>
    </comment>
    <comment ref="E26" authorId="0" shapeId="0">
      <text>
        <t>Loan: Ascentium Capital, AMORTIZING. Source: Loan 49 - data/loans.md</t>
      </text>
    </comment>
    <comment ref="F26" authorId="0" shapeId="0">
      <text>
        <t>Loan: Ascentium Capital, AMORTIZING. Source: Loan 49 - data/loans.md</t>
      </text>
    </comment>
    <comment ref="C27" authorId="0" shapeId="0">
      <text>
        <t>Loan: Ascentium Capital, AMORTIZING. Source: Loan 49 - data/loans.md</t>
      </text>
    </comment>
    <comment ref="D27" authorId="0" shapeId="0">
      <text>
        <t>Loan: Ascentium Capital, AMORTIZING. Source: Loan 49 - data/loans.md</t>
      </text>
    </comment>
    <comment ref="E27" authorId="0" shapeId="0">
      <text>
        <t>Loan: Ascentium Capital, AMORTIZING. Source: Loan 49 - data/loans.md</t>
      </text>
    </comment>
    <comment ref="F27" authorId="0" shapeId="0">
      <text>
        <t>Loan: Ascentium Capital, AMORTIZING. Source: Loan 49 - data/loans.md</t>
      </text>
    </comment>
    <comment ref="C28" authorId="0" shapeId="0">
      <text>
        <t>Loan: Ascentium Capital, AMORTIZING. Source: Loan 49 - data/loans.md</t>
      </text>
    </comment>
    <comment ref="D28" authorId="0" shapeId="0">
      <text>
        <t>Loan: Ascentium Capital, AMORTIZING. Source: Loan 49 - data/loans.md</t>
      </text>
    </comment>
    <comment ref="E28" authorId="0" shapeId="0">
      <text>
        <t>Loan: Ascentium Capital, AMORTIZING. Source: Loan 49 - data/loans.md</t>
      </text>
    </comment>
    <comment ref="F28" authorId="0" shapeId="0">
      <text>
        <t>Loan: Ascentium Capital, AMORTIZING. Source: Loan 49 - data/loans.md</t>
      </text>
    </comment>
    <comment ref="C29" authorId="0" shapeId="0">
      <text>
        <t>Loan: Ascentium Capital, AMORTIZING. Source: Loan 49 - data/loans.md</t>
      </text>
    </comment>
    <comment ref="D29" authorId="0" shapeId="0">
      <text>
        <t>Loan: Ascentium Capital, AMORTIZING. Source: Loan 49 - data/loans.md</t>
      </text>
    </comment>
    <comment ref="E29" authorId="0" shapeId="0">
      <text>
        <t>Loan: Ascentium Capital, AMORTIZING. Source: Loan 49 - data/loans.md</t>
      </text>
    </comment>
    <comment ref="F29" authorId="0" shapeId="0">
      <text>
        <t>Loan: Ascentium Capital, AMORTIZING. Source: Loan 49 - data/loans.md</t>
      </text>
    </comment>
    <comment ref="C30" authorId="0" shapeId="0">
      <text>
        <t>Loan: Ascentium Capital, AMORTIZING. Source: Loan 49 - data/loans.md</t>
      </text>
    </comment>
    <comment ref="D30" authorId="0" shapeId="0">
      <text>
        <t>Loan: Ascentium Capital, AMORTIZING. Source: Loan 49 - data/loans.md</t>
      </text>
    </comment>
    <comment ref="E30" authorId="0" shapeId="0">
      <text>
        <t>Loan: Ascentium Capital, AMORTIZING. Source: Loan 49 - data/loans.md</t>
      </text>
    </comment>
    <comment ref="F30" authorId="0" shapeId="0">
      <text>
        <t>Loan: Ascentium Capital, AMORTIZING. Source: Loan 49 - data/loans.md</t>
      </text>
    </comment>
    <comment ref="C31" authorId="0" shapeId="0">
      <text>
        <t>Loan: Ascentium Capital, AMORTIZING. Source: Loan 49 - data/loans.md</t>
      </text>
    </comment>
    <comment ref="D31" authorId="0" shapeId="0">
      <text>
        <t>Loan: Ascentium Capital, AMORTIZING. Source: Loan 49 - data/loans.md</t>
      </text>
    </comment>
    <comment ref="E31" authorId="0" shapeId="0">
      <text>
        <t>Loan: Ascentium Capital, AMORTIZING. Source: Loan 49 - data/loans.md</t>
      </text>
    </comment>
    <comment ref="F31" authorId="0" shapeId="0">
      <text>
        <t>Loan: Ascentium Capital, AMORTIZING. Source: Loan 49 - data/loans.md</t>
      </text>
    </comment>
    <comment ref="C32" authorId="0" shapeId="0">
      <text>
        <t>Loan: Ascentium Capital, AMORTIZING. Source: Loan 49 - data/loans.md</t>
      </text>
    </comment>
    <comment ref="D32" authorId="0" shapeId="0">
      <text>
        <t>Loan: Ascentium Capital, AMORTIZING. Source: Loan 49 - data/loans.md</t>
      </text>
    </comment>
    <comment ref="E32" authorId="0" shapeId="0">
      <text>
        <t>Loan: Ascentium Capital, AMORTIZING. Source: Loan 49 - data/loans.md</t>
      </text>
    </comment>
    <comment ref="F32" authorId="0" shapeId="0">
      <text>
        <t>Loan: Ascentium Capital, AMORTIZING. Source: Loan 49 - data/loans.md</t>
      </text>
    </comment>
    <comment ref="C33" authorId="0" shapeId="0">
      <text>
        <t>Loan: Ascentium Capital, AMORTIZING. Source: Loan 49 - data/loans.md</t>
      </text>
    </comment>
    <comment ref="D33" authorId="0" shapeId="0">
      <text>
        <t>Loan: Ascentium Capital, AMORTIZING. Source: Loan 49 - data/loans.md</t>
      </text>
    </comment>
    <comment ref="E33" authorId="0" shapeId="0">
      <text>
        <t>Loan: Ascentium Capital, AMORTIZING. Source: Loan 49 - data/loans.md</t>
      </text>
    </comment>
    <comment ref="F33" authorId="0" shapeId="0">
      <text>
        <t>Loan: Ascentium Capital, AMORTIZING. Source: Loan 49 - data/loans.md</t>
      </text>
    </comment>
    <comment ref="C34" authorId="0" shapeId="0">
      <text>
        <t>Loan: Ascentium Capital, AMORTIZING. Source: Loan 49 - data/loans.md</t>
      </text>
    </comment>
    <comment ref="D34" authorId="0" shapeId="0">
      <text>
        <t>Loan: Ascentium Capital, AMORTIZING. Source: Loan 49 - data/loans.md</t>
      </text>
    </comment>
    <comment ref="E34" authorId="0" shapeId="0">
      <text>
        <t>Loan: Ascentium Capital, AMORTIZING. Source: Loan 49 - data/loans.md</t>
      </text>
    </comment>
    <comment ref="F34" authorId="0" shapeId="0">
      <text>
        <t>Loan: Ascentium Capital, AMORTIZING. Source: Loan 49 - data/loans.md</t>
      </text>
    </comment>
    <comment ref="C35" authorId="0" shapeId="0">
      <text>
        <t>Loan: Ascentium Capital, AMORTIZING. Source: Loan 49 - data/loans.md</t>
      </text>
    </comment>
    <comment ref="D35" authorId="0" shapeId="0">
      <text>
        <t>Loan: Ascentium Capital, AMORTIZING. Source: Loan 49 - data/loans.md</t>
      </text>
    </comment>
    <comment ref="E35" authorId="0" shapeId="0">
      <text>
        <t>Loan: Ascentium Capital, AMORTIZING. Source: Loan 49 - data/loans.md</t>
      </text>
    </comment>
    <comment ref="F35" authorId="0" shapeId="0">
      <text>
        <t>Loan: Ascentium Capital, AMORTIZING. Source: Loan 49 - data/loans.md</t>
      </text>
    </comment>
    <comment ref="C36" authorId="0" shapeId="0">
      <text>
        <t>Loan: Ascentium Capital, AMORTIZING. Source: Loan 49 - data/loans.md</t>
      </text>
    </comment>
    <comment ref="D36" authorId="0" shapeId="0">
      <text>
        <t>Loan: Ascentium Capital, AMORTIZING. Source: Loan 49 - data/loans.md</t>
      </text>
    </comment>
    <comment ref="E36" authorId="0" shapeId="0">
      <text>
        <t>Loan: Ascentium Capital, AMORTIZING. Source: Loan 49 - data/loans.md</t>
      </text>
    </comment>
    <comment ref="F36" authorId="0" shapeId="0">
      <text>
        <t>Loan: Ascentium Capital, AMORTIZING. Source: Loan 49 - data/loans.md</t>
      </text>
    </comment>
    <comment ref="C37" authorId="0" shapeId="0">
      <text>
        <t>Loan: Ascentium Capital, AMORTIZING. Source: Loan 49 - data/loans.md</t>
      </text>
    </comment>
    <comment ref="D37" authorId="0" shapeId="0">
      <text>
        <t>Loan: Ascentium Capital, AMORTIZING. Source: Loan 49 - data/loans.md</t>
      </text>
    </comment>
    <comment ref="E37" authorId="0" shapeId="0">
      <text>
        <t>Loan: Ascentium Capital, AMORTIZING. Source: Loan 49 - data/loans.md</t>
      </text>
    </comment>
    <comment ref="F37" authorId="0" shapeId="0">
      <text>
        <t>Loan: Ascentium Capital, AMORTIZING. Source: Loan 49 - data/loans.md</t>
      </text>
    </comment>
    <comment ref="C38" authorId="0" shapeId="0">
      <text>
        <t>Loan: Ascentium Capital, AMORTIZING. Source: Loan 49 - data/loans.md</t>
      </text>
    </comment>
    <comment ref="D38" authorId="0" shapeId="0">
      <text>
        <t>Loan: Ascentium Capital, AMORTIZING. Source: Loan 49 - data/loans.md</t>
      </text>
    </comment>
    <comment ref="E38" authorId="0" shapeId="0">
      <text>
        <t>Loan: Ascentium Capital, AMORTIZING. Source: Loan 49 - data/loans.md</t>
      </text>
    </comment>
    <comment ref="F38" authorId="0" shapeId="0">
      <text>
        <t>Loan: Ascentium Capital, AMORTIZING. Source: Loan 49 - data/loans.md</t>
      </text>
    </comment>
    <comment ref="C39" authorId="0" shapeId="0">
      <text>
        <t>Loan: Ascentium Capital, AMORTIZING. Source: Loan 49 - data/loans.md</t>
      </text>
    </comment>
    <comment ref="D39" authorId="0" shapeId="0">
      <text>
        <t>Loan: Ascentium Capital, AMORTIZING. Source: Loan 49 - data/loans.md</t>
      </text>
    </comment>
    <comment ref="E39" authorId="0" shapeId="0">
      <text>
        <t>Loan: Ascentium Capital, AMORTIZING. Source: Loan 49 - data/loans.md</t>
      </text>
    </comment>
    <comment ref="F39" authorId="0" shapeId="0">
      <text>
        <t>Loan: Ascentium Capital, AMORTIZING. Source: Loan 49 - data/loans.md</t>
      </text>
    </comment>
    <comment ref="C40" authorId="0" shapeId="0">
      <text>
        <t>Loan: Ascentium Capital, AMORTIZING. Source: Loan 49 - data/loans.md</t>
      </text>
    </comment>
    <comment ref="D40" authorId="0" shapeId="0">
      <text>
        <t>Loan: Ascentium Capital, AMORTIZING. Source: Loan 49 - data/loans.md</t>
      </text>
    </comment>
    <comment ref="E40" authorId="0" shapeId="0">
      <text>
        <t>Loan: Ascentium Capital, AMORTIZING. Source: Loan 49 - data/loans.md</t>
      </text>
    </comment>
    <comment ref="F40" authorId="0" shapeId="0">
      <text>
        <t>Loan: Ascentium Capital, AMORTIZING. Source: Loan 49 - data/loans.md</t>
      </text>
    </comment>
    <comment ref="C41" authorId="0" shapeId="0">
      <text>
        <t>Loan: Ascentium Capital, AMORTIZING. Source: Loan 49 - data/loans.md</t>
      </text>
    </comment>
    <comment ref="D41" authorId="0" shapeId="0">
      <text>
        <t>Loan: Ascentium Capital, AMORTIZING. Source: Loan 49 - data/loans.md</t>
      </text>
    </comment>
    <comment ref="E41" authorId="0" shapeId="0">
      <text>
        <t>Loan: Ascentium Capital, AMORTIZING. Source: Loan 49 - data/loans.md</t>
      </text>
    </comment>
    <comment ref="F41" authorId="0" shapeId="0">
      <text>
        <t>Loan: Ascentium Capital, AMORTIZING. Source: Loan 49 - data/loans.md</t>
      </text>
    </comment>
    <comment ref="C42" authorId="0" shapeId="0">
      <text>
        <t>Loan: Ascentium Capital, AMORTIZING. Source: Loan 49 - data/loans.md</t>
      </text>
    </comment>
    <comment ref="D42" authorId="0" shapeId="0">
      <text>
        <t>Loan: Ascentium Capital, AMORTIZING. Source: Loan 49 - data/loans.md</t>
      </text>
    </comment>
    <comment ref="E42" authorId="0" shapeId="0">
      <text>
        <t>Loan: Ascentium Capital, AMORTIZING. Source: Loan 49 - data/loans.md</t>
      </text>
    </comment>
    <comment ref="F42" authorId="0" shapeId="0">
      <text>
        <t>Loan: Ascentium Capital, AMORTIZING. Source: Loan 49 - data/loans.md</t>
      </text>
    </comment>
    <comment ref="C43" authorId="0" shapeId="0">
      <text>
        <t>Loan: Ascentium Capital, AMORTIZING. Source: Loan 49 - data/loans.md</t>
      </text>
    </comment>
    <comment ref="D43" authorId="0" shapeId="0">
      <text>
        <t>Loan: Ascentium Capital, AMORTIZING. Source: Loan 49 - data/loans.md</t>
      </text>
    </comment>
    <comment ref="E43" authorId="0" shapeId="0">
      <text>
        <t>Loan: Ascentium Capital, AMORTIZING. Source: Loan 49 - data/loans.md</t>
      </text>
    </comment>
    <comment ref="F43" authorId="0" shapeId="0">
      <text>
        <t>Loan: Ascentium Capital, AMORTIZING. Source: Loan 49 - data/loans.md</t>
      </text>
    </comment>
    <comment ref="C44" authorId="0" shapeId="0">
      <text>
        <t>Loan: Ascentium Capital, AMORTIZING. Source: Loan 49 - data/loans.md</t>
      </text>
    </comment>
    <comment ref="D44" authorId="0" shapeId="0">
      <text>
        <t>Loan: Ascentium Capital, AMORTIZING. Source: Loan 49 - data/loans.md</t>
      </text>
    </comment>
    <comment ref="E44" authorId="0" shapeId="0">
      <text>
        <t>Loan: Ascentium Capital, AMORTIZING. Source: Loan 49 - data/loans.md</t>
      </text>
    </comment>
    <comment ref="F44" authorId="0" shapeId="0">
      <text>
        <t>Loan: Ascentium Capital, AMORTIZING. Source: Loan 49 - data/loans.md</t>
      </text>
    </comment>
    <comment ref="C45" authorId="0" shapeId="0">
      <text>
        <t>Loan: Ascentium Capital, AMORTIZING. Source: Loan 49 - data/loans.md</t>
      </text>
    </comment>
    <comment ref="D45" authorId="0" shapeId="0">
      <text>
        <t>Loan: Ascentium Capital, AMORTIZING. Source: Loan 49 - data/loans.md</t>
      </text>
    </comment>
    <comment ref="E45" authorId="0" shapeId="0">
      <text>
        <t>Loan: Ascentium Capital, AMORTIZING. Source: Loan 49 - data/loans.md</t>
      </text>
    </comment>
    <comment ref="F45" authorId="0" shapeId="0">
      <text>
        <t>Loan: Ascentium Capital, AMORTIZING. Source: Loan 49 - data/loans.md</t>
      </text>
    </comment>
    <comment ref="C46" authorId="0" shapeId="0">
      <text>
        <t>Loan: Ascentium Capital, AMORTIZING. Source: Loan 49 - data/loans.md</t>
      </text>
    </comment>
    <comment ref="D46" authorId="0" shapeId="0">
      <text>
        <t>Loan: Ascentium Capital, AMORTIZING. Source: Loan 49 - data/loans.md</t>
      </text>
    </comment>
    <comment ref="E46" authorId="0" shapeId="0">
      <text>
        <t>Loan: Ascentium Capital, AMORTIZING. Source: Loan 49 - data/loans.md</t>
      </text>
    </comment>
    <comment ref="F46" authorId="0" shapeId="0">
      <text>
        <t>Loan: Ascentium Capital, AMORTIZING. Source: Loan 49 - data/loans.md</t>
      </text>
    </comment>
    <comment ref="C47" authorId="0" shapeId="0">
      <text>
        <t>Loan: Ascentium Capital, AMORTIZING. Source: Loan 49 - data/loans.md</t>
      </text>
    </comment>
    <comment ref="D47" authorId="0" shapeId="0">
      <text>
        <t>Loan: Ascentium Capital, AMORTIZING. Source: Loan 49 - data/loans.md</t>
      </text>
    </comment>
    <comment ref="E47" authorId="0" shapeId="0">
      <text>
        <t>Loan: Ascentium Capital, AMORTIZING. Source: Loan 49 - data/loans.md</t>
      </text>
    </comment>
    <comment ref="F47" authorId="0" shapeId="0">
      <text>
        <t>Loan: Ascentium Capital, AMORTIZING. Source: Loan 49 - data/loans.md</t>
      </text>
    </comment>
    <comment ref="C48" authorId="0" shapeId="0">
      <text>
        <t>Loan: Ascentium Capital, AMORTIZING. Source: Loan 49 - data/loans.md</t>
      </text>
    </comment>
    <comment ref="D48" authorId="0" shapeId="0">
      <text>
        <t>Loan: Ascentium Capital, AMORTIZING. Source: Loan 49 - data/loans.md</t>
      </text>
    </comment>
    <comment ref="E48" authorId="0" shapeId="0">
      <text>
        <t>Loan: Ascentium Capital, AMORTIZING. Source: Loan 49 - data/loans.md</t>
      </text>
    </comment>
    <comment ref="F48" authorId="0" shapeId="0">
      <text>
        <t>Loan: Ascentium Capital, AMORTIZING. Source: Loan 49 - data/loans.md</t>
      </text>
    </comment>
    <comment ref="C49" authorId="0" shapeId="0">
      <text>
        <t>Loan: Ascentium Capital, AMORTIZING. Source: Loan 49 - data/loans.md</t>
      </text>
    </comment>
    <comment ref="D49" authorId="0" shapeId="0">
      <text>
        <t>Loan: Ascentium Capital, AMORTIZING. Source: Loan 49 - data/loans.md</t>
      </text>
    </comment>
    <comment ref="E49" authorId="0" shapeId="0">
      <text>
        <t>Loan: Ascentium Capital, AMORTIZING. Source: Loan 49 - data/loans.md</t>
      </text>
    </comment>
    <comment ref="F49" authorId="0" shapeId="0">
      <text>
        <t>Loan: Ascentium Capital, AMORTIZING. Source: Loan 49 - data/loans.md</t>
      </text>
    </comment>
    <comment ref="C50" authorId="0" shapeId="0">
      <text>
        <t>Loan: Ascentium Capital, AMORTIZING. Source: Loan 49 - data/loans.md</t>
      </text>
    </comment>
    <comment ref="D50" authorId="0" shapeId="0">
      <text>
        <t>Loan: Ascentium Capital, AMORTIZING. Source: Loan 49 - data/loans.md</t>
      </text>
    </comment>
    <comment ref="E50" authorId="0" shapeId="0">
      <text>
        <t>Loan: Ascentium Capital, AMORTIZING. Source: Loan 49 - data/loans.md</t>
      </text>
    </comment>
    <comment ref="F50" authorId="0" shapeId="0">
      <text>
        <t>Loan: Ascentium Capital, AMORTIZING. Source: Loan 49 - data/loans.md</t>
      </text>
    </comment>
    <comment ref="C51" authorId="0" shapeId="0">
      <text>
        <t>Loan: Ascentium Capital, AMORTIZING. Source: Loan 49 - data/loans.md</t>
      </text>
    </comment>
    <comment ref="D51" authorId="0" shapeId="0">
      <text>
        <t>Loan: Ascentium Capital, AMORTIZING. Source: Loan 49 - data/loans.md</t>
      </text>
    </comment>
    <comment ref="E51" authorId="0" shapeId="0">
      <text>
        <t>Loan: Ascentium Capital, AMORTIZING. Source: Loan 49 - data/loans.md</t>
      </text>
    </comment>
    <comment ref="F51" authorId="0" shapeId="0">
      <text>
        <t>Loan: Ascentium Capital, AMORTIZING. Source: Loan 49 - data/loans.md</t>
      </text>
    </comment>
    <comment ref="C52" authorId="0" shapeId="0">
      <text>
        <t>Loan: Ascentium Capital, AMORTIZING. Source: Loan 49 - data/loans.md</t>
      </text>
    </comment>
    <comment ref="D52" authorId="0" shapeId="0">
      <text>
        <t>Loan: Ascentium Capital, AMORTIZING. Source: Loan 49 - data/loans.md</t>
      </text>
    </comment>
    <comment ref="E52" authorId="0" shapeId="0">
      <text>
        <t>Loan: Ascentium Capital, AMORTIZING. Source: Loan 49 - data/loans.md</t>
      </text>
    </comment>
    <comment ref="F52" authorId="0" shapeId="0">
      <text>
        <t>Loan: Ascentium Capital, AMORTIZING. Source: Loan 49 - data/loans.md</t>
      </text>
    </comment>
    <comment ref="C53" authorId="0" shapeId="0">
      <text>
        <t>Loan: Ascentium Capital, AMORTIZING. Source: Loan 49 - data/loans.md</t>
      </text>
    </comment>
    <comment ref="D53" authorId="0" shapeId="0">
      <text>
        <t>Loan: Ascentium Capital, AMORTIZING. Source: Loan 49 - data/loans.md</t>
      </text>
    </comment>
    <comment ref="E53" authorId="0" shapeId="0">
      <text>
        <t>Loan: Ascentium Capital, AMORTIZING. Source: Loan 49 - data/loans.md</t>
      </text>
    </comment>
    <comment ref="F53" authorId="0" shapeId="0">
      <text>
        <t>Loan: Ascentium Capital, AMORTIZING. Source: Loan 49 - data/loans.md</t>
      </text>
    </comment>
    <comment ref="C54" authorId="0" shapeId="0">
      <text>
        <t>Loan: Ascentium Capital, AMORTIZING. Source: Loan 49 - data/loans.md</t>
      </text>
    </comment>
    <comment ref="D54" authorId="0" shapeId="0">
      <text>
        <t>Loan: Ascentium Capital, AMORTIZING. Source: Loan 49 - data/loans.md</t>
      </text>
    </comment>
    <comment ref="E54" authorId="0" shapeId="0">
      <text>
        <t>Loan: Ascentium Capital, AMORTIZING. Source: Loan 49 - data/loans.md</t>
      </text>
    </comment>
    <comment ref="F54" authorId="0" shapeId="0">
      <text>
        <t>Loan: Ascentium Capital, AMORTIZING. Source: Loan 49 - data/loans.md</t>
      </text>
    </comment>
    <comment ref="C55" authorId="0" shapeId="0">
      <text>
        <t>Loan: Ascentium Capital, AMORTIZING. Source: Loan 49 - data/loans.md</t>
      </text>
    </comment>
    <comment ref="D55" authorId="0" shapeId="0">
      <text>
        <t>Loan: Ascentium Capital, AMORTIZING. Source: Loan 49 - data/loans.md</t>
      </text>
    </comment>
    <comment ref="E55" authorId="0" shapeId="0">
      <text>
        <t>Loan: Ascentium Capital, AMORTIZING. Source: Loan 49 - data/loans.md</t>
      </text>
    </comment>
    <comment ref="F55" authorId="0" shapeId="0">
      <text>
        <t>Loan: Ascentium Capital, AMORTIZING. Source: Loan 49 - data/loans.md</t>
      </text>
    </comment>
    <comment ref="C56" authorId="0" shapeId="0">
      <text>
        <t>Loan: Ascentium Capital, AMORTIZING. Source: Loan 49 - data/loans.md</t>
      </text>
    </comment>
    <comment ref="D56" authorId="0" shapeId="0">
      <text>
        <t>Loan: Ascentium Capital, AMORTIZING. Source: Loan 49 - data/loans.md</t>
      </text>
    </comment>
    <comment ref="E56" authorId="0" shapeId="0">
      <text>
        <t>Loan: Ascentium Capital, AMORTIZING. Source: Loan 49 - data/loans.md</t>
      </text>
    </comment>
    <comment ref="F56" authorId="0" shapeId="0">
      <text>
        <t>Loan: Ascentium Capital, AMORTIZING. Source: Loan 49 - data/loans.md</t>
      </text>
    </comment>
    <comment ref="C57" authorId="0" shapeId="0">
      <text>
        <t>Loan: Ascentium Capital, AMORTIZING. Source: Loan 49 - data/loans.md</t>
      </text>
    </comment>
    <comment ref="D57" authorId="0" shapeId="0">
      <text>
        <t>Loan: Ascentium Capital, AMORTIZING. Source: Loan 49 - data/loans.md</t>
      </text>
    </comment>
    <comment ref="E57" authorId="0" shapeId="0">
      <text>
        <t>Loan: Ascentium Capital, AMORTIZING. Source: Loan 49 - data/loans.md</t>
      </text>
    </comment>
    <comment ref="F57" authorId="0" shapeId="0">
      <text>
        <t>Loan: Ascentium Capital, AMORTIZING. Source: Loan 49 - data/loans.md</t>
      </text>
    </comment>
    <comment ref="C58" authorId="0" shapeId="0">
      <text>
        <t>Loan: Ascentium Capital, AMORTIZING. Source: Loan 49 - data/loans.md</t>
      </text>
    </comment>
    <comment ref="D58" authorId="0" shapeId="0">
      <text>
        <t>Loan: Ascentium Capital, AMORTIZING. Source: Loan 49 - data/loans.md</t>
      </text>
    </comment>
    <comment ref="E58" authorId="0" shapeId="0">
      <text>
        <t>Loan: Ascentium Capital, AMORTIZING. Source: Loan 49 - data/loans.md</t>
      </text>
    </comment>
    <comment ref="F58" authorId="0" shapeId="0">
      <text>
        <t>Loan: Ascentium Capital, AMORTIZING. Source: Loan 49 - data/loans.md</t>
      </text>
    </comment>
    <comment ref="C59" authorId="0" shapeId="0">
      <text>
        <t>Loan: Ascentium Capital, AMORTIZING. Source: Loan 49 - data/loans.md</t>
      </text>
    </comment>
    <comment ref="D59" authorId="0" shapeId="0">
      <text>
        <t>Loan: Ascentium Capital, AMORTIZING. Source: Loan 49 - data/loans.md</t>
      </text>
    </comment>
    <comment ref="E59" authorId="0" shapeId="0">
      <text>
        <t>Loan: Ascentium Capital, AMORTIZING. Source: Loan 49 - data/loans.md</t>
      </text>
    </comment>
    <comment ref="F59" authorId="0" shapeId="0">
      <text>
        <t>Loan: Ascentium Capital, AMORTIZING. Source: Loan 49 - data/loans.md</t>
      </text>
    </comment>
    <comment ref="C60" authorId="0" shapeId="0">
      <text>
        <t>Loan: Ascentium Capital, AMORTIZING. Source: Loan 49 - data/loans.md</t>
      </text>
    </comment>
    <comment ref="D60" authorId="0" shapeId="0">
      <text>
        <t>Loan: Ascentium Capital, AMORTIZING. Source: Loan 49 - data/loans.md</t>
      </text>
    </comment>
    <comment ref="E60" authorId="0" shapeId="0">
      <text>
        <t>Loan: Ascentium Capital, AMORTIZING. Source: Loan 49 - data/loans.md</t>
      </text>
    </comment>
    <comment ref="F60" authorId="0" shapeId="0">
      <text>
        <t>Loan: Ascentium Capital, AMORTIZING. Source: Loan 49 - data/loans.md</t>
      </text>
    </comment>
    <comment ref="C61" authorId="0" shapeId="0">
      <text>
        <t>Loan: Ascentium Capital, AMORTIZING. Source: Loan 49 - data/loans.md</t>
      </text>
    </comment>
    <comment ref="D61" authorId="0" shapeId="0">
      <text>
        <t>Loan: Ascentium Capital, AMORTIZING. Source: Loan 49 - data/loans.md</t>
      </text>
    </comment>
    <comment ref="E61" authorId="0" shapeId="0">
      <text>
        <t>Loan: Ascentium Capital, AMORTIZING. Source: Loan 49 - data/loans.md</t>
      </text>
    </comment>
    <comment ref="F61" authorId="0" shapeId="0">
      <text>
        <t>Loan: Ascentium Capital, AMORTIZING. Source: Loan 49 - data/loans.md</t>
      </text>
    </comment>
    <comment ref="C62" authorId="0" shapeId="0">
      <text>
        <t>Loan: Ascentium Capital, AMORTIZING. Source: Loan 49 - data/loans.md</t>
      </text>
    </comment>
    <comment ref="D62" authorId="0" shapeId="0">
      <text>
        <t>Loan: Ascentium Capital, AMORTIZING. Source: Loan 49 - data/loans.md</t>
      </text>
    </comment>
    <comment ref="E62" authorId="0" shapeId="0">
      <text>
        <t>Loan: Ascentium Capital, AMORTIZING. Source: Loan 49 - data/loans.md</t>
      </text>
    </comment>
    <comment ref="F62" authorId="0" shapeId="0">
      <text>
        <t>Loan: Ascentium Capital, AMORTIZING. Source: Loan 49 - data/loans.md</t>
      </text>
    </comment>
    <comment ref="C63" authorId="0" shapeId="0">
      <text>
        <t>Loan: Ascentium Capital, AMORTIZING. Source: Loan 49 - data/loans.md</t>
      </text>
    </comment>
    <comment ref="D63" authorId="0" shapeId="0">
      <text>
        <t>Loan: Ascentium Capital, AMORTIZING. Source: Loan 49 - data/loans.md</t>
      </text>
    </comment>
    <comment ref="E63" authorId="0" shapeId="0">
      <text>
        <t>Loan: Ascentium Capital, AMORTIZING. Source: Loan 49 - data/loans.md</t>
      </text>
    </comment>
    <comment ref="F63" authorId="0" shapeId="0">
      <text>
        <t>Loan: Ascentium Capital, AMORTIZING. Source: Loan 49 - data/loans.md</t>
      </text>
    </comment>
    <comment ref="C64" authorId="0" shapeId="0">
      <text>
        <t>Loan: Ascentium Capital, AMORTIZING. Source: Loan 49 - data/loans.md</t>
      </text>
    </comment>
    <comment ref="D64" authorId="0" shapeId="0">
      <text>
        <t>Loan: Ascentium Capital, AMORTIZING. Source: Loan 49 - data/loans.md</t>
      </text>
    </comment>
    <comment ref="E64" authorId="0" shapeId="0">
      <text>
        <t>Loan: Ascentium Capital, AMORTIZING. Source: Loan 49 - data/loans.md</t>
      </text>
    </comment>
    <comment ref="F64" authorId="0" shapeId="0">
      <text>
        <t>Loan: Ascentium Capital, AMORTIZING. Source: Loan 49 - data/loans.md</t>
      </text>
    </comment>
    <comment ref="C65" authorId="0" shapeId="0">
      <text>
        <t>Loan: Ascentium Capital, AMORTIZING. Source: Loan 49 - data/loans.md</t>
      </text>
    </comment>
    <comment ref="D65" authorId="0" shapeId="0">
      <text>
        <t>Loan: Ascentium Capital, AMORTIZING. Source: Loan 49 - data/loans.md</t>
      </text>
    </comment>
    <comment ref="E65" authorId="0" shapeId="0">
      <text>
        <t>Loan: Ascentium Capital, AMORTIZING. Source: Loan 49 - data/loans.md</t>
      </text>
    </comment>
    <comment ref="F65" authorId="0" shapeId="0">
      <text>
        <t>Loan: Ascentium Capital, AMORTIZING. Source: Loan 49 - data/loans.md</t>
      </text>
    </comment>
    <comment ref="C66" authorId="0" shapeId="0">
      <text>
        <t>Loan: Ascentium Capital, AMORTIZING. Source: Loan 49 - data/loans.md</t>
      </text>
    </comment>
    <comment ref="D66" authorId="0" shapeId="0">
      <text>
        <t>Loan: Ascentium Capital, AMORTIZING. Source: Loan 49 - data/loans.md</t>
      </text>
    </comment>
    <comment ref="E66" authorId="0" shapeId="0">
      <text>
        <t>Loan: Ascentium Capital, AMORTIZING. Source: Loan 49 - data/loans.md</t>
      </text>
    </comment>
    <comment ref="F66" authorId="0" shapeId="0">
      <text>
        <t>Loan: Ascentium Capital, AMORTIZING. Source: Loan 49 - data/loans.md</t>
      </text>
    </comment>
    <comment ref="C67" authorId="0" shapeId="0">
      <text>
        <t>Loan: Ascentium Capital, AMORTIZING. Source: Loan 49 - data/loans.md</t>
      </text>
    </comment>
    <comment ref="D67" authorId="0" shapeId="0">
      <text>
        <t>Loan: Ascentium Capital, AMORTIZING. Source: Loan 49 - data/loans.md</t>
      </text>
    </comment>
    <comment ref="E67" authorId="0" shapeId="0">
      <text>
        <t>Loan: Ascentium Capital, AMORTIZING. Source: Loan 49 - data/loans.md</t>
      </text>
    </comment>
    <comment ref="F67" authorId="0" shapeId="0">
      <text>
        <t>Loan: Ascentium Capital, AMORTIZING. Source: Loan 49 - data/loans.md</t>
      </text>
    </comment>
    <comment ref="C68" authorId="0" shapeId="0">
      <text>
        <t>Loan: Ascentium Capital, AMORTIZING. Source: Loan 49 - data/loans.md</t>
      </text>
    </comment>
    <comment ref="D68" authorId="0" shapeId="0">
      <text>
        <t>Loan: Ascentium Capital, AMORTIZING. Source: Loan 49 - data/loans.md</t>
      </text>
    </comment>
    <comment ref="E68" authorId="0" shapeId="0">
      <text>
        <t>Loan: Ascentium Capital, AMORTIZING. Source: Loan 49 - data/loans.md</t>
      </text>
    </comment>
    <comment ref="F68" authorId="0" shapeId="0">
      <text>
        <t>Loan: Ascentium Capital, AMORTIZING. Source: Loan 49 - data/loans.md</t>
      </text>
    </comment>
    <comment ref="C69" authorId="0" shapeId="0">
      <text>
        <t>Loan: Ascentium Capital, AMORTIZING. Source: Loan 49 - data/loans.md</t>
      </text>
    </comment>
    <comment ref="D69" authorId="0" shapeId="0">
      <text>
        <t>Loan: Ascentium Capital, AMORTIZING. Source: Loan 49 - data/loans.md</t>
      </text>
    </comment>
    <comment ref="E69" authorId="0" shapeId="0">
      <text>
        <t>Loan: Ascentium Capital, AMORTIZING. Source: Loan 49 - data/loans.md</t>
      </text>
    </comment>
    <comment ref="F69" authorId="0" shapeId="0">
      <text>
        <t>Loan: Ascentium Capital, AMORTIZING. Source: Loan 49 - data/loans.md</t>
      </text>
    </comment>
    <comment ref="C70" authorId="0" shapeId="0">
      <text>
        <t>Loan: Ascentium Capital, AMORTIZING. Source: Loan 49 - data/loans.md</t>
      </text>
    </comment>
    <comment ref="D70" authorId="0" shapeId="0">
      <text>
        <t>Loan: Ascentium Capital, AMORTIZING. Source: Loan 49 - data/loans.md</t>
      </text>
    </comment>
    <comment ref="E70" authorId="0" shapeId="0">
      <text>
        <t>Loan: Ascentium Capital, AMORTIZING. Source: Loan 49 - data/loans.md</t>
      </text>
    </comment>
    <comment ref="F70" authorId="0" shapeId="0">
      <text>
        <t>Loan: Ascentium Capital, AMORTIZING. Source: Loan 49 - data/loans.md</t>
      </text>
    </comment>
    <comment ref="C71" authorId="0" shapeId="0">
      <text>
        <t>Loan: Ascentium Capital, AMORTIZING. Source: Loan 49 - data/loans.md</t>
      </text>
    </comment>
    <comment ref="D71" authorId="0" shapeId="0">
      <text>
        <t>Loan: Ascentium Capital, AMORTIZING. Source: Loan 49 - data/loans.md</t>
      </text>
    </comment>
    <comment ref="E71" authorId="0" shapeId="0">
      <text>
        <t>Loan: Ascentium Capital, AMORTIZING. Source: Loan 49 - data/loans.md</t>
      </text>
    </comment>
    <comment ref="F71" authorId="0" shapeId="0">
      <text>
        <t>Loan: Ascentium Capital, AMORTIZING. Source: Loan 49 - data/loans.md</t>
      </text>
    </comment>
    <comment ref="C72" authorId="0" shapeId="0">
      <text>
        <t>Loan: Ascentium Capital, AMORTIZING. Source: Loan 49 - data/loans.md</t>
      </text>
    </comment>
    <comment ref="D72" authorId="0" shapeId="0">
      <text>
        <t>Loan: Ascentium Capital, AMORTIZING. Source: Loan 49 - data/loans.md</t>
      </text>
    </comment>
    <comment ref="E72" authorId="0" shapeId="0">
      <text>
        <t>Loan: Ascentium Capital, AMORTIZING. Source: Loan 49 - data/loans.md</t>
      </text>
    </comment>
    <comment ref="F72" authorId="0" shapeId="0">
      <text>
        <t>Loan: Ascentium Capital, AMORTIZING. Source: Loan 49 - data/loans.md</t>
      </text>
    </comment>
    <comment ref="C73" authorId="0" shapeId="0">
      <text>
        <t>Loan: Ascentium Capital, AMORTIZING. Source: Loan 49 - data/loans.md</t>
      </text>
    </comment>
    <comment ref="D73" authorId="0" shapeId="0">
      <text>
        <t>Loan: Ascentium Capital, AMORTIZING. Source: Loan 49 - data/loans.md</t>
      </text>
    </comment>
    <comment ref="E73" authorId="0" shapeId="0">
      <text>
        <t>Loan: Ascentium Capital, AMORTIZING. Source: Loan 49 - data/loans.md</t>
      </text>
    </comment>
    <comment ref="F73" authorId="0" shapeId="0">
      <text>
        <t>Loan: Ascentium Capital, AMORTIZING. Source: Loan 49 - data/loans.md</t>
      </text>
    </comment>
    <comment ref="C74" authorId="0" shapeId="0">
      <text>
        <t>Loan: Ascentium Capital, AMORTIZING. Source: Loan 49 - data/loans.md</t>
      </text>
    </comment>
    <comment ref="D74" authorId="0" shapeId="0">
      <text>
        <t>Loan: Ascentium Capital, AMORTIZING. Source: Loan 49 - data/loans.md</t>
      </text>
    </comment>
    <comment ref="E74" authorId="0" shapeId="0">
      <text>
        <t>Loan: Ascentium Capital, AMORTIZING. Source: Loan 49 - data/loans.md</t>
      </text>
    </comment>
    <comment ref="F74" authorId="0" shapeId="0">
      <text>
        <t>Loan: Ascentium Capital, AMORTIZING. Source: Loan 49 - data/loans.md</t>
      </text>
    </comment>
    <comment ref="B79" authorId="0" shapeId="0">
      <text>
        <t>Sum of rows 21-32: Opening balance for 2026</t>
      </text>
    </comment>
    <comment ref="C79" authorId="0" shapeId="0">
      <text>
        <t>Sum of rows 21-32: Total interest for 2026</t>
      </text>
    </comment>
    <comment ref="D79" authorId="0" shapeId="0">
      <text>
        <t>Sum of rows 21-32: Total principal for 2026</t>
      </text>
    </comment>
    <comment ref="E79" authorId="0" shapeId="0">
      <text>
        <t>Sum of rows 21-32: Closing balance for 2026</t>
      </text>
    </comment>
    <comment ref="B80" authorId="0" shapeId="0">
      <text>
        <t>Sum of rows 33-44: Opening balance for 2027</t>
      </text>
    </comment>
    <comment ref="C80" authorId="0" shapeId="0">
      <text>
        <t>Sum of rows 33-44: Total interest for 2027</t>
      </text>
    </comment>
    <comment ref="D80" authorId="0" shapeId="0">
      <text>
        <t>Sum of rows 33-44: Total principal for 2027</t>
      </text>
    </comment>
    <comment ref="E80" authorId="0" shapeId="0">
      <text>
        <t>Sum of rows 33-44: Closing balance for 2027</t>
      </text>
    </comment>
    <comment ref="B81" authorId="0" shapeId="0">
      <text>
        <t>Sum of rows 45-56: Opening balance for 2028</t>
      </text>
    </comment>
    <comment ref="C81" authorId="0" shapeId="0">
      <text>
        <t>Sum of rows 45-56: Total interest for 2028</t>
      </text>
    </comment>
    <comment ref="D81" authorId="0" shapeId="0">
      <text>
        <t>Sum of rows 45-56: Total principal for 2028</t>
      </text>
    </comment>
    <comment ref="E81" authorId="0" shapeId="0">
      <text>
        <t>Sum of rows 45-56: Closing balance for 2028</t>
      </text>
    </comment>
    <comment ref="B84" authorId="0" shapeId="0">
      <text>
        <t>Reference cell for Debt Schedule linking. Links to: B10.</t>
      </text>
    </comment>
  </commentList>
</comments>
</file>

<file path=xl/comments/comment36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 50 - data/loans.md</t>
      </text>
    </comment>
    <comment ref="B9" authorId="0" shapeId="0">
      <text>
        <t>Source: Loan 50 - data/loans.md
Original loan amount at origination.</t>
      </text>
    </comment>
    <comment ref="B10" authorId="0" shapeId="0">
      <text>
        <t>Source: Loan 50 - data/loans.md
Balance as of 12/31/2025.</t>
      </text>
    </comment>
    <comment ref="B11" authorId="0" shapeId="0">
      <text>
        <t>Source: Loan 50 - data/loans.md
Annual interest rate.</t>
      </text>
    </comment>
    <comment ref="B12" authorId="0" shapeId="0">
      <text>
        <t>Source: Loan 50 - data/loans.md
Fixed monthly payment amount.</t>
      </text>
    </comment>
    <comment ref="C21" authorId="0" shapeId="0">
      <text>
        <t>Loan: Amur Equipment Finance, AMORTIZING. Source: Loan 50 - data/loans.md</t>
      </text>
    </comment>
    <comment ref="D21" authorId="0" shapeId="0">
      <text>
        <t>Loan: Amur Equipment Finance, AMORTIZING. Source: Loan 50 - data/loans.md</t>
      </text>
    </comment>
    <comment ref="E21" authorId="0" shapeId="0">
      <text>
        <t>Loan: Amur Equipment Finance, AMORTIZING. Source: Loan 50 - data/loans.md</t>
      </text>
    </comment>
    <comment ref="F21" authorId="0" shapeId="0">
      <text>
        <t>Loan: Amur Equipment Finance, AMORTIZING. Source: Loan 50 - data/loans.md</t>
      </text>
    </comment>
    <comment ref="C22" authorId="0" shapeId="0">
      <text>
        <t>Loan: Amur Equipment Finance, AMORTIZING. Source: Loan 50 - data/loans.md</t>
      </text>
    </comment>
    <comment ref="D22" authorId="0" shapeId="0">
      <text>
        <t>Loan: Amur Equipment Finance, AMORTIZING. Source: Loan 50 - data/loans.md</t>
      </text>
    </comment>
    <comment ref="E22" authorId="0" shapeId="0">
      <text>
        <t>Loan: Amur Equipment Finance, AMORTIZING. Source: Loan 50 - data/loans.md</t>
      </text>
    </comment>
    <comment ref="F22" authorId="0" shapeId="0">
      <text>
        <t>Loan: Amur Equipment Finance, AMORTIZING. Source: Loan 50 - data/loans.md</t>
      </text>
    </comment>
    <comment ref="C23" authorId="0" shapeId="0">
      <text>
        <t>Loan: Amur Equipment Finance, AMORTIZING. Source: Loan 50 - data/loans.md</t>
      </text>
    </comment>
    <comment ref="D23" authorId="0" shapeId="0">
      <text>
        <t>Loan: Amur Equipment Finance, AMORTIZING. Source: Loan 50 - data/loans.md</t>
      </text>
    </comment>
    <comment ref="E23" authorId="0" shapeId="0">
      <text>
        <t>Loan: Amur Equipment Finance, AMORTIZING. Source: Loan 50 - data/loans.md</t>
      </text>
    </comment>
    <comment ref="F23" authorId="0" shapeId="0">
      <text>
        <t>Loan: Amur Equipment Finance, AMORTIZING. Source: Loan 50 - data/loans.md</t>
      </text>
    </comment>
    <comment ref="C24" authorId="0" shapeId="0">
      <text>
        <t>Loan: Amur Equipment Finance, AMORTIZING. Source: Loan 50 - data/loans.md</t>
      </text>
    </comment>
    <comment ref="D24" authorId="0" shapeId="0">
      <text>
        <t>Loan: Amur Equipment Finance, AMORTIZING. Source: Loan 50 - data/loans.md</t>
      </text>
    </comment>
    <comment ref="E24" authorId="0" shapeId="0">
      <text>
        <t>Loan: Amur Equipment Finance, AMORTIZING. Source: Loan 50 - data/loans.md</t>
      </text>
    </comment>
    <comment ref="F24" authorId="0" shapeId="0">
      <text>
        <t>Loan: Amur Equipment Finance, AMORTIZING. Source: Loan 50 - data/loans.md</t>
      </text>
    </comment>
    <comment ref="C25" authorId="0" shapeId="0">
      <text>
        <t>Loan: Amur Equipment Finance, AMORTIZING. Source: Loan 50 - data/loans.md</t>
      </text>
    </comment>
    <comment ref="D25" authorId="0" shapeId="0">
      <text>
        <t>Loan: Amur Equipment Finance, AMORTIZING. Source: Loan 50 - data/loans.md</t>
      </text>
    </comment>
    <comment ref="E25" authorId="0" shapeId="0">
      <text>
        <t>Loan: Amur Equipment Finance, AMORTIZING. Source: Loan 50 - data/loans.md</t>
      </text>
    </comment>
    <comment ref="F25" authorId="0" shapeId="0">
      <text>
        <t>Loan: Amur Equipment Finance, AMORTIZING. Source: Loan 50 - data/loans.md</t>
      </text>
    </comment>
    <comment ref="C26" authorId="0" shapeId="0">
      <text>
        <t>Loan: Amur Equipment Finance, AMORTIZING. Source: Loan 50 - data/loans.md</t>
      </text>
    </comment>
    <comment ref="D26" authorId="0" shapeId="0">
      <text>
        <t>Loan: Amur Equipment Finance, AMORTIZING. Source: Loan 50 - data/loans.md</t>
      </text>
    </comment>
    <comment ref="E26" authorId="0" shapeId="0">
      <text>
        <t>Loan: Amur Equipment Finance, AMORTIZING. Source: Loan 50 - data/loans.md</t>
      </text>
    </comment>
    <comment ref="F26" authorId="0" shapeId="0">
      <text>
        <t>Loan: Amur Equipment Finance, AMORTIZING. Source: Loan 50 - data/loans.md</t>
      </text>
    </comment>
    <comment ref="C27" authorId="0" shapeId="0">
      <text>
        <t>Loan: Amur Equipment Finance, AMORTIZING. Source: Loan 50 - data/loans.md</t>
      </text>
    </comment>
    <comment ref="D27" authorId="0" shapeId="0">
      <text>
        <t>Loan: Amur Equipment Finance, AMORTIZING. Source: Loan 50 - data/loans.md</t>
      </text>
    </comment>
    <comment ref="E27" authorId="0" shapeId="0">
      <text>
        <t>Loan: Amur Equipment Finance, AMORTIZING. Source: Loan 50 - data/loans.md</t>
      </text>
    </comment>
    <comment ref="F27" authorId="0" shapeId="0">
      <text>
        <t>Loan: Amur Equipment Finance, AMORTIZING. Source: Loan 50 - data/loans.md</t>
      </text>
    </comment>
    <comment ref="C28" authorId="0" shapeId="0">
      <text>
        <t>Loan: Amur Equipment Finance, AMORTIZING. Source: Loan 50 - data/loans.md</t>
      </text>
    </comment>
    <comment ref="D28" authorId="0" shapeId="0">
      <text>
        <t>Loan: Amur Equipment Finance, AMORTIZING. Source: Loan 50 - data/loans.md</t>
      </text>
    </comment>
    <comment ref="E28" authorId="0" shapeId="0">
      <text>
        <t>Loan: Amur Equipment Finance, AMORTIZING. Source: Loan 50 - data/loans.md</t>
      </text>
    </comment>
    <comment ref="F28" authorId="0" shapeId="0">
      <text>
        <t>Loan: Amur Equipment Finance, AMORTIZING. Source: Loan 50 - data/loans.md</t>
      </text>
    </comment>
    <comment ref="C29" authorId="0" shapeId="0">
      <text>
        <t>Loan: Amur Equipment Finance, AMORTIZING. Source: Loan 50 - data/loans.md</t>
      </text>
    </comment>
    <comment ref="D29" authorId="0" shapeId="0">
      <text>
        <t>Loan: Amur Equipment Finance, AMORTIZING. Source: Loan 50 - data/loans.md</t>
      </text>
    </comment>
    <comment ref="E29" authorId="0" shapeId="0">
      <text>
        <t>Loan: Amur Equipment Finance, AMORTIZING. Source: Loan 50 - data/loans.md</t>
      </text>
    </comment>
    <comment ref="F29" authorId="0" shapeId="0">
      <text>
        <t>Loan: Amur Equipment Finance, AMORTIZING. Source: Loan 50 - data/loans.md</t>
      </text>
    </comment>
    <comment ref="C30" authorId="0" shapeId="0">
      <text>
        <t>Loan: Amur Equipment Finance, AMORTIZING. Source: Loan 50 - data/loans.md</t>
      </text>
    </comment>
    <comment ref="D30" authorId="0" shapeId="0">
      <text>
        <t>Loan: Amur Equipment Finance, AMORTIZING. Source: Loan 50 - data/loans.md</t>
      </text>
    </comment>
    <comment ref="E30" authorId="0" shapeId="0">
      <text>
        <t>Loan: Amur Equipment Finance, AMORTIZING. Source: Loan 50 - data/loans.md</t>
      </text>
    </comment>
    <comment ref="F30" authorId="0" shapeId="0">
      <text>
        <t>Loan: Amur Equipment Finance, AMORTIZING. Source: Loan 50 - data/loans.md</t>
      </text>
    </comment>
    <comment ref="C31" authorId="0" shapeId="0">
      <text>
        <t>Loan: Amur Equipment Finance, AMORTIZING. Source: Loan 50 - data/loans.md</t>
      </text>
    </comment>
    <comment ref="D31" authorId="0" shapeId="0">
      <text>
        <t>Loan: Amur Equipment Finance, AMORTIZING. Source: Loan 50 - data/loans.md</t>
      </text>
    </comment>
    <comment ref="E31" authorId="0" shapeId="0">
      <text>
        <t>Loan: Amur Equipment Finance, AMORTIZING. Source: Loan 50 - data/loans.md</t>
      </text>
    </comment>
    <comment ref="F31" authorId="0" shapeId="0">
      <text>
        <t>Loan: Amur Equipment Finance, AMORTIZING. Source: Loan 50 - data/loans.md</t>
      </text>
    </comment>
    <comment ref="C32" authorId="0" shapeId="0">
      <text>
        <t>Loan: Amur Equipment Finance, AMORTIZING. Source: Loan 50 - data/loans.md</t>
      </text>
    </comment>
    <comment ref="D32" authorId="0" shapeId="0">
      <text>
        <t>Loan: Amur Equipment Finance, AMORTIZING. Source: Loan 50 - data/loans.md</t>
      </text>
    </comment>
    <comment ref="E32" authorId="0" shapeId="0">
      <text>
        <t>Loan: Amur Equipment Finance, AMORTIZING. Source: Loan 50 - data/loans.md</t>
      </text>
    </comment>
    <comment ref="F32" authorId="0" shapeId="0">
      <text>
        <t>Loan: Amur Equipment Finance, AMORTIZING. Source: Loan 50 - data/loans.md</t>
      </text>
    </comment>
    <comment ref="C33" authorId="0" shapeId="0">
      <text>
        <t>Loan: Amur Equipment Finance, AMORTIZING. Source: Loan 50 - data/loans.md</t>
      </text>
    </comment>
    <comment ref="D33" authorId="0" shapeId="0">
      <text>
        <t>Loan: Amur Equipment Finance, AMORTIZING. Source: Loan 50 - data/loans.md</t>
      </text>
    </comment>
    <comment ref="E33" authorId="0" shapeId="0">
      <text>
        <t>Loan: Amur Equipment Finance, AMORTIZING. Source: Loan 50 - data/loans.md</t>
      </text>
    </comment>
    <comment ref="F33" authorId="0" shapeId="0">
      <text>
        <t>Loan: Amur Equipment Finance, AMORTIZING. Source: Loan 50 - data/loans.md</t>
      </text>
    </comment>
    <comment ref="C34" authorId="0" shapeId="0">
      <text>
        <t>Loan: Amur Equipment Finance, AMORTIZING. Source: Loan 50 - data/loans.md</t>
      </text>
    </comment>
    <comment ref="D34" authorId="0" shapeId="0">
      <text>
        <t>Loan: Amur Equipment Finance, AMORTIZING. Source: Loan 50 - data/loans.md</t>
      </text>
    </comment>
    <comment ref="E34" authorId="0" shapeId="0">
      <text>
        <t>Loan: Amur Equipment Finance, AMORTIZING. Source: Loan 50 - data/loans.md</t>
      </text>
    </comment>
    <comment ref="F34" authorId="0" shapeId="0">
      <text>
        <t>Loan: Amur Equipment Finance, AMORTIZING. Source: Loan 50 - data/loans.md</t>
      </text>
    </comment>
    <comment ref="C35" authorId="0" shapeId="0">
      <text>
        <t>Loan: Amur Equipment Finance, AMORTIZING. Source: Loan 50 - data/loans.md</t>
      </text>
    </comment>
    <comment ref="D35" authorId="0" shapeId="0">
      <text>
        <t>Loan: Amur Equipment Finance, AMORTIZING. Source: Loan 50 - data/loans.md</t>
      </text>
    </comment>
    <comment ref="E35" authorId="0" shapeId="0">
      <text>
        <t>Loan: Amur Equipment Finance, AMORTIZING. Source: Loan 50 - data/loans.md</t>
      </text>
    </comment>
    <comment ref="F35" authorId="0" shapeId="0">
      <text>
        <t>Loan: Amur Equipment Finance, AMORTIZING. Source: Loan 50 - data/loans.md</t>
      </text>
    </comment>
    <comment ref="C36" authorId="0" shapeId="0">
      <text>
        <t>Loan: Amur Equipment Finance, AMORTIZING. Source: Loan 50 - data/loans.md</t>
      </text>
    </comment>
    <comment ref="D36" authorId="0" shapeId="0">
      <text>
        <t>Loan: Amur Equipment Finance, AMORTIZING. Source: Loan 50 - data/loans.md</t>
      </text>
    </comment>
    <comment ref="E36" authorId="0" shapeId="0">
      <text>
        <t>Loan: Amur Equipment Finance, AMORTIZING. Source: Loan 50 - data/loans.md</t>
      </text>
    </comment>
    <comment ref="F36" authorId="0" shapeId="0">
      <text>
        <t>Loan: Amur Equipment Finance, AMORTIZING. Source: Loan 50 - data/loans.md</t>
      </text>
    </comment>
    <comment ref="C37" authorId="0" shapeId="0">
      <text>
        <t>Loan: Amur Equipment Finance, AMORTIZING. Source: Loan 50 - data/loans.md</t>
      </text>
    </comment>
    <comment ref="D37" authorId="0" shapeId="0">
      <text>
        <t>Loan: Amur Equipment Finance, AMORTIZING. Source: Loan 50 - data/loans.md</t>
      </text>
    </comment>
    <comment ref="E37" authorId="0" shapeId="0">
      <text>
        <t>Loan: Amur Equipment Finance, AMORTIZING. Source: Loan 50 - data/loans.md</t>
      </text>
    </comment>
    <comment ref="F37" authorId="0" shapeId="0">
      <text>
        <t>Loan: Amur Equipment Finance, AMORTIZING. Source: Loan 50 - data/loans.md</t>
      </text>
    </comment>
    <comment ref="C38" authorId="0" shapeId="0">
      <text>
        <t>Loan: Amur Equipment Finance, AMORTIZING. Source: Loan 50 - data/loans.md</t>
      </text>
    </comment>
    <comment ref="D38" authorId="0" shapeId="0">
      <text>
        <t>Loan: Amur Equipment Finance, AMORTIZING. Source: Loan 50 - data/loans.md</t>
      </text>
    </comment>
    <comment ref="E38" authorId="0" shapeId="0">
      <text>
        <t>Loan: Amur Equipment Finance, AMORTIZING. Source: Loan 50 - data/loans.md</t>
      </text>
    </comment>
    <comment ref="F38" authorId="0" shapeId="0">
      <text>
        <t>Loan: Amur Equipment Finance, AMORTIZING. Source: Loan 50 - data/loans.md</t>
      </text>
    </comment>
    <comment ref="C39" authorId="0" shapeId="0">
      <text>
        <t>Loan: Amur Equipment Finance, AMORTIZING. Source: Loan 50 - data/loans.md</t>
      </text>
    </comment>
    <comment ref="D39" authorId="0" shapeId="0">
      <text>
        <t>Loan: Amur Equipment Finance, AMORTIZING. Source: Loan 50 - data/loans.md</t>
      </text>
    </comment>
    <comment ref="E39" authorId="0" shapeId="0">
      <text>
        <t>Loan: Amur Equipment Finance, AMORTIZING. Source: Loan 50 - data/loans.md</t>
      </text>
    </comment>
    <comment ref="F39" authorId="0" shapeId="0">
      <text>
        <t>Loan: Amur Equipment Finance, AMORTIZING. Source: Loan 50 - data/loans.md</t>
      </text>
    </comment>
    <comment ref="C40" authorId="0" shapeId="0">
      <text>
        <t>Loan: Amur Equipment Finance, AMORTIZING. Source: Loan 50 - data/loans.md</t>
      </text>
    </comment>
    <comment ref="D40" authorId="0" shapeId="0">
      <text>
        <t>Loan: Amur Equipment Finance, AMORTIZING. Source: Loan 50 - data/loans.md</t>
      </text>
    </comment>
    <comment ref="E40" authorId="0" shapeId="0">
      <text>
        <t>Loan: Amur Equipment Finance, AMORTIZING. Source: Loan 50 - data/loans.md</t>
      </text>
    </comment>
    <comment ref="F40" authorId="0" shapeId="0">
      <text>
        <t>Loan: Amur Equipment Finance, AMORTIZING. Source: Loan 50 - data/loans.md</t>
      </text>
    </comment>
    <comment ref="C41" authorId="0" shapeId="0">
      <text>
        <t>Loan: Amur Equipment Finance, AMORTIZING. Source: Loan 50 - data/loans.md</t>
      </text>
    </comment>
    <comment ref="D41" authorId="0" shapeId="0">
      <text>
        <t>Loan: Amur Equipment Finance, AMORTIZING. Source: Loan 50 - data/loans.md</t>
      </text>
    </comment>
    <comment ref="E41" authorId="0" shapeId="0">
      <text>
        <t>Loan: Amur Equipment Finance, AMORTIZING. Source: Loan 50 - data/loans.md</t>
      </text>
    </comment>
    <comment ref="F41" authorId="0" shapeId="0">
      <text>
        <t>Loan: Amur Equipment Finance, AMORTIZING. Source: Loan 50 - data/loans.md</t>
      </text>
    </comment>
    <comment ref="C42" authorId="0" shapeId="0">
      <text>
        <t>Loan: Amur Equipment Finance, AMORTIZING. Source: Loan 50 - data/loans.md</t>
      </text>
    </comment>
    <comment ref="D42" authorId="0" shapeId="0">
      <text>
        <t>Loan: Amur Equipment Finance, AMORTIZING. Source: Loan 50 - data/loans.md</t>
      </text>
    </comment>
    <comment ref="E42" authorId="0" shapeId="0">
      <text>
        <t>Loan: Amur Equipment Finance, AMORTIZING. Source: Loan 50 - data/loans.md</t>
      </text>
    </comment>
    <comment ref="F42" authorId="0" shapeId="0">
      <text>
        <t>Loan: Amur Equipment Finance, AMORTIZING. Source: Loan 50 - data/loans.md</t>
      </text>
    </comment>
    <comment ref="C43" authorId="0" shapeId="0">
      <text>
        <t>Loan: Amur Equipment Finance, AMORTIZING. Source: Loan 50 - data/loans.md</t>
      </text>
    </comment>
    <comment ref="D43" authorId="0" shapeId="0">
      <text>
        <t>Loan: Amur Equipment Finance, AMORTIZING. Source: Loan 50 - data/loans.md</t>
      </text>
    </comment>
    <comment ref="E43" authorId="0" shapeId="0">
      <text>
        <t>Loan: Amur Equipment Finance, AMORTIZING. Source: Loan 50 - data/loans.md</t>
      </text>
    </comment>
    <comment ref="F43" authorId="0" shapeId="0">
      <text>
        <t>Loan: Amur Equipment Finance, AMORTIZING. Source: Loan 50 - data/loans.md</t>
      </text>
    </comment>
    <comment ref="C44" authorId="0" shapeId="0">
      <text>
        <t>Loan: Amur Equipment Finance, AMORTIZING. Source: Loan 50 - data/loans.md</t>
      </text>
    </comment>
    <comment ref="D44" authorId="0" shapeId="0">
      <text>
        <t>Loan: Amur Equipment Finance, AMORTIZING. Source: Loan 50 - data/loans.md</t>
      </text>
    </comment>
    <comment ref="E44" authorId="0" shapeId="0">
      <text>
        <t>Loan: Amur Equipment Finance, AMORTIZING. Source: Loan 50 - data/loans.md</t>
      </text>
    </comment>
    <comment ref="F44" authorId="0" shapeId="0">
      <text>
        <t>Loan: Amur Equipment Finance, AMORTIZING. Source: Loan 50 - data/loans.md</t>
      </text>
    </comment>
    <comment ref="C45" authorId="0" shapeId="0">
      <text>
        <t>Loan: Amur Equipment Finance, AMORTIZING. Source: Loan 50 - data/loans.md</t>
      </text>
    </comment>
    <comment ref="D45" authorId="0" shapeId="0">
      <text>
        <t>Loan: Amur Equipment Finance, AMORTIZING. Source: Loan 50 - data/loans.md</t>
      </text>
    </comment>
    <comment ref="E45" authorId="0" shapeId="0">
      <text>
        <t>Loan: Amur Equipment Finance, AMORTIZING. Source: Loan 50 - data/loans.md</t>
      </text>
    </comment>
    <comment ref="F45" authorId="0" shapeId="0">
      <text>
        <t>Loan: Amur Equipment Finance, AMORTIZING. Source: Loan 50 - data/loans.md</t>
      </text>
    </comment>
    <comment ref="C46" authorId="0" shapeId="0">
      <text>
        <t>Loan: Amur Equipment Finance, AMORTIZING. Source: Loan 50 - data/loans.md</t>
      </text>
    </comment>
    <comment ref="D46" authorId="0" shapeId="0">
      <text>
        <t>Loan: Amur Equipment Finance, AMORTIZING. Source: Loan 50 - data/loans.md</t>
      </text>
    </comment>
    <comment ref="E46" authorId="0" shapeId="0">
      <text>
        <t>Loan: Amur Equipment Finance, AMORTIZING. Source: Loan 50 - data/loans.md</t>
      </text>
    </comment>
    <comment ref="F46" authorId="0" shapeId="0">
      <text>
        <t>Loan: Amur Equipment Finance, AMORTIZING. Source: Loan 50 - data/loans.md</t>
      </text>
    </comment>
    <comment ref="C47" authorId="0" shapeId="0">
      <text>
        <t>Loan: Amur Equipment Finance, AMORTIZING. Source: Loan 50 - data/loans.md</t>
      </text>
    </comment>
    <comment ref="D47" authorId="0" shapeId="0">
      <text>
        <t>Loan: Amur Equipment Finance, AMORTIZING. Source: Loan 50 - data/loans.md</t>
      </text>
    </comment>
    <comment ref="E47" authorId="0" shapeId="0">
      <text>
        <t>Loan: Amur Equipment Finance, AMORTIZING. Source: Loan 50 - data/loans.md</t>
      </text>
    </comment>
    <comment ref="F47" authorId="0" shapeId="0">
      <text>
        <t>Loan: Amur Equipment Finance, AMORTIZING. Source: Loan 50 - data/loans.md</t>
      </text>
    </comment>
    <comment ref="C48" authorId="0" shapeId="0">
      <text>
        <t>Loan: Amur Equipment Finance, AMORTIZING. Source: Loan 50 - data/loans.md</t>
      </text>
    </comment>
    <comment ref="D48" authorId="0" shapeId="0">
      <text>
        <t>Loan: Amur Equipment Finance, AMORTIZING. Source: Loan 50 - data/loans.md</t>
      </text>
    </comment>
    <comment ref="E48" authorId="0" shapeId="0">
      <text>
        <t>Loan: Amur Equipment Finance, AMORTIZING. Source: Loan 50 - data/loans.md</t>
      </text>
    </comment>
    <comment ref="F48" authorId="0" shapeId="0">
      <text>
        <t>Loan: Amur Equipment Finance, AMORTIZING. Source: Loan 50 - data/loans.md</t>
      </text>
    </comment>
    <comment ref="C49" authorId="0" shapeId="0">
      <text>
        <t>Loan: Amur Equipment Finance, AMORTIZING. Source: Loan 50 - data/loans.md</t>
      </text>
    </comment>
    <comment ref="D49" authorId="0" shapeId="0">
      <text>
        <t>Loan: Amur Equipment Finance, AMORTIZING. Source: Loan 50 - data/loans.md</t>
      </text>
    </comment>
    <comment ref="E49" authorId="0" shapeId="0">
      <text>
        <t>Loan: Amur Equipment Finance, AMORTIZING. Source: Loan 50 - data/loans.md</t>
      </text>
    </comment>
    <comment ref="F49" authorId="0" shapeId="0">
      <text>
        <t>Loan: Amur Equipment Finance, AMORTIZING. Source: Loan 50 - data/loans.md</t>
      </text>
    </comment>
    <comment ref="C50" authorId="0" shapeId="0">
      <text>
        <t>Loan: Amur Equipment Finance, AMORTIZING. Source: Loan 50 - data/loans.md</t>
      </text>
    </comment>
    <comment ref="D50" authorId="0" shapeId="0">
      <text>
        <t>Loan: Amur Equipment Finance, AMORTIZING. Source: Loan 50 - data/loans.md</t>
      </text>
    </comment>
    <comment ref="E50" authorId="0" shapeId="0">
      <text>
        <t>Loan: Amur Equipment Finance, AMORTIZING. Source: Loan 50 - data/loans.md</t>
      </text>
    </comment>
    <comment ref="F50" authorId="0" shapeId="0">
      <text>
        <t>Loan: Amur Equipment Finance, AMORTIZING. Source: Loan 50 - data/loans.md</t>
      </text>
    </comment>
    <comment ref="C51" authorId="0" shapeId="0">
      <text>
        <t>Loan: Amur Equipment Finance, AMORTIZING. Source: Loan 50 - data/loans.md</t>
      </text>
    </comment>
    <comment ref="D51" authorId="0" shapeId="0">
      <text>
        <t>Loan: Amur Equipment Finance, AMORTIZING. Source: Loan 50 - data/loans.md</t>
      </text>
    </comment>
    <comment ref="E51" authorId="0" shapeId="0">
      <text>
        <t>Loan: Amur Equipment Finance, AMORTIZING. Source: Loan 50 - data/loans.md</t>
      </text>
    </comment>
    <comment ref="F51" authorId="0" shapeId="0">
      <text>
        <t>Loan: Amur Equipment Finance, AMORTIZING. Source: Loan 50 - data/loans.md</t>
      </text>
    </comment>
    <comment ref="C52" authorId="0" shapeId="0">
      <text>
        <t>Loan: Amur Equipment Finance, AMORTIZING. Source: Loan 50 - data/loans.md</t>
      </text>
    </comment>
    <comment ref="D52" authorId="0" shapeId="0">
      <text>
        <t>Loan: Amur Equipment Finance, AMORTIZING. Source: Loan 50 - data/loans.md</t>
      </text>
    </comment>
    <comment ref="E52" authorId="0" shapeId="0">
      <text>
        <t>Loan: Amur Equipment Finance, AMORTIZING. Source: Loan 50 - data/loans.md</t>
      </text>
    </comment>
    <comment ref="F52" authorId="0" shapeId="0">
      <text>
        <t>Loan: Amur Equipment Finance, AMORTIZING. Source: Loan 50 - data/loans.md</t>
      </text>
    </comment>
    <comment ref="C53" authorId="0" shapeId="0">
      <text>
        <t>Loan: Amur Equipment Finance, AMORTIZING. Source: Loan 50 - data/loans.md</t>
      </text>
    </comment>
    <comment ref="D53" authorId="0" shapeId="0">
      <text>
        <t>Loan: Amur Equipment Finance, AMORTIZING. Source: Loan 50 - data/loans.md</t>
      </text>
    </comment>
    <comment ref="E53" authorId="0" shapeId="0">
      <text>
        <t>Loan: Amur Equipment Finance, AMORTIZING. Source: Loan 50 - data/loans.md</t>
      </text>
    </comment>
    <comment ref="F53" authorId="0" shapeId="0">
      <text>
        <t>Loan: Amur Equipment Finance, AMORTIZING. Source: Loan 50 - data/loans.md</t>
      </text>
    </comment>
    <comment ref="C54" authorId="0" shapeId="0">
      <text>
        <t>Loan: Amur Equipment Finance, AMORTIZING. Source: Loan 50 - data/loans.md</t>
      </text>
    </comment>
    <comment ref="D54" authorId="0" shapeId="0">
      <text>
        <t>Loan: Amur Equipment Finance, AMORTIZING. Source: Loan 50 - data/loans.md</t>
      </text>
    </comment>
    <comment ref="E54" authorId="0" shapeId="0">
      <text>
        <t>Loan: Amur Equipment Finance, AMORTIZING. Source: Loan 50 - data/loans.md</t>
      </text>
    </comment>
    <comment ref="F54" authorId="0" shapeId="0">
      <text>
        <t>Loan: Amur Equipment Finance, AMORTIZING. Source: Loan 50 - data/loans.md</t>
      </text>
    </comment>
    <comment ref="C55" authorId="0" shapeId="0">
      <text>
        <t>Loan: Amur Equipment Finance, AMORTIZING. Source: Loan 50 - data/loans.md</t>
      </text>
    </comment>
    <comment ref="D55" authorId="0" shapeId="0">
      <text>
        <t>Loan: Amur Equipment Finance, AMORTIZING. Source: Loan 50 - data/loans.md</t>
      </text>
    </comment>
    <comment ref="E55" authorId="0" shapeId="0">
      <text>
        <t>Loan: Amur Equipment Finance, AMORTIZING. Source: Loan 50 - data/loans.md</t>
      </text>
    </comment>
    <comment ref="F55" authorId="0" shapeId="0">
      <text>
        <t>Loan: Amur Equipment Finance, AMORTIZING. Source: Loan 50 - data/loans.md</t>
      </text>
    </comment>
    <comment ref="C56" authorId="0" shapeId="0">
      <text>
        <t>Loan: Amur Equipment Finance, AMORTIZING. Source: Loan 50 - data/loans.md</t>
      </text>
    </comment>
    <comment ref="D56" authorId="0" shapeId="0">
      <text>
        <t>Loan: Amur Equipment Finance, AMORTIZING. Source: Loan 50 - data/loans.md</t>
      </text>
    </comment>
    <comment ref="E56" authorId="0" shapeId="0">
      <text>
        <t>Loan: Amur Equipment Finance, AMORTIZING. Source: Loan 50 - data/loans.md</t>
      </text>
    </comment>
    <comment ref="F56" authorId="0" shapeId="0">
      <text>
        <t>Loan: Amur Equipment Finance, AMORTIZING. Source: Loan 50 - data/loans.md</t>
      </text>
    </comment>
    <comment ref="C57" authorId="0" shapeId="0">
      <text>
        <t>Loan: Amur Equipment Finance, AMORTIZING. Source: Loan 50 - data/loans.md</t>
      </text>
    </comment>
    <comment ref="D57" authorId="0" shapeId="0">
      <text>
        <t>Loan: Amur Equipment Finance, AMORTIZING. Source: Loan 50 - data/loans.md</t>
      </text>
    </comment>
    <comment ref="E57" authorId="0" shapeId="0">
      <text>
        <t>Loan: Amur Equipment Finance, AMORTIZING. Source: Loan 50 - data/loans.md</t>
      </text>
    </comment>
    <comment ref="F57" authorId="0" shapeId="0">
      <text>
        <t>Loan: Amur Equipment Finance, AMORTIZING. Source: Loan 50 - data/loans.md</t>
      </text>
    </comment>
    <comment ref="C58" authorId="0" shapeId="0">
      <text>
        <t>Loan: Amur Equipment Finance, AMORTIZING. Source: Loan 50 - data/loans.md</t>
      </text>
    </comment>
    <comment ref="D58" authorId="0" shapeId="0">
      <text>
        <t>Loan: Amur Equipment Finance, AMORTIZING. Source: Loan 50 - data/loans.md</t>
      </text>
    </comment>
    <comment ref="E58" authorId="0" shapeId="0">
      <text>
        <t>Loan: Amur Equipment Finance, AMORTIZING. Source: Loan 50 - data/loans.md</t>
      </text>
    </comment>
    <comment ref="F58" authorId="0" shapeId="0">
      <text>
        <t>Loan: Amur Equipment Finance, AMORTIZING. Source: Loan 50 - data/loans.md</t>
      </text>
    </comment>
    <comment ref="C59" authorId="0" shapeId="0">
      <text>
        <t>Loan: Amur Equipment Finance, AMORTIZING. Source: Loan 50 - data/loans.md</t>
      </text>
    </comment>
    <comment ref="D59" authorId="0" shapeId="0">
      <text>
        <t>Loan: Amur Equipment Finance, AMORTIZING. Source: Loan 50 - data/loans.md</t>
      </text>
    </comment>
    <comment ref="E59" authorId="0" shapeId="0">
      <text>
        <t>Loan: Amur Equipment Finance, AMORTIZING. Source: Loan 50 - data/loans.md</t>
      </text>
    </comment>
    <comment ref="F59" authorId="0" shapeId="0">
      <text>
        <t>Loan: Amur Equipment Finance, AMORTIZING. Source: Loan 50 - data/loans.md</t>
      </text>
    </comment>
    <comment ref="C60" authorId="0" shapeId="0">
      <text>
        <t>Loan: Amur Equipment Finance, AMORTIZING. Source: Loan 50 - data/loans.md</t>
      </text>
    </comment>
    <comment ref="D60" authorId="0" shapeId="0">
      <text>
        <t>Loan: Amur Equipment Finance, AMORTIZING. Source: Loan 50 - data/loans.md</t>
      </text>
    </comment>
    <comment ref="E60" authorId="0" shapeId="0">
      <text>
        <t>Loan: Amur Equipment Finance, AMORTIZING. Source: Loan 50 - data/loans.md</t>
      </text>
    </comment>
    <comment ref="F60" authorId="0" shapeId="0">
      <text>
        <t>Loan: Amur Equipment Finance, AMORTIZING. Source: Loan 50 - data/loans.md</t>
      </text>
    </comment>
    <comment ref="C61" authorId="0" shapeId="0">
      <text>
        <t>Loan: Amur Equipment Finance, AMORTIZING. Source: Loan 50 - data/loans.md</t>
      </text>
    </comment>
    <comment ref="D61" authorId="0" shapeId="0">
      <text>
        <t>Loan: Amur Equipment Finance, AMORTIZING. Source: Loan 50 - data/loans.md</t>
      </text>
    </comment>
    <comment ref="E61" authorId="0" shapeId="0">
      <text>
        <t>Loan: Amur Equipment Finance, AMORTIZING. Source: Loan 50 - data/loans.md</t>
      </text>
    </comment>
    <comment ref="F61" authorId="0" shapeId="0">
      <text>
        <t>Loan: Amur Equipment Finance, AMORTIZING. Source: Loan 50 - data/loans.md</t>
      </text>
    </comment>
    <comment ref="C62" authorId="0" shapeId="0">
      <text>
        <t>Loan: Amur Equipment Finance, AMORTIZING. Source: Loan 50 - data/loans.md</t>
      </text>
    </comment>
    <comment ref="D62" authorId="0" shapeId="0">
      <text>
        <t>Loan: Amur Equipment Finance, AMORTIZING. Source: Loan 50 - data/loans.md</t>
      </text>
    </comment>
    <comment ref="E62" authorId="0" shapeId="0">
      <text>
        <t>Loan: Amur Equipment Finance, AMORTIZING. Source: Loan 50 - data/loans.md</t>
      </text>
    </comment>
    <comment ref="F62" authorId="0" shapeId="0">
      <text>
        <t>Loan: Amur Equipment Finance, AMORTIZING. Source: Loan 50 - data/loans.md</t>
      </text>
    </comment>
    <comment ref="C63" authorId="0" shapeId="0">
      <text>
        <t>Loan: Amur Equipment Finance, AMORTIZING. Source: Loan 50 - data/loans.md</t>
      </text>
    </comment>
    <comment ref="D63" authorId="0" shapeId="0">
      <text>
        <t>Loan: Amur Equipment Finance, AMORTIZING. Source: Loan 50 - data/loans.md</t>
      </text>
    </comment>
    <comment ref="E63" authorId="0" shapeId="0">
      <text>
        <t>Loan: Amur Equipment Finance, AMORTIZING. Source: Loan 50 - data/loans.md</t>
      </text>
    </comment>
    <comment ref="F63" authorId="0" shapeId="0">
      <text>
        <t>Loan: Amur Equipment Finance, AMORTIZING. Source: Loan 50 - data/loans.md</t>
      </text>
    </comment>
    <comment ref="C64" authorId="0" shapeId="0">
      <text>
        <t>Loan: Amur Equipment Finance, AMORTIZING. Source: Loan 50 - data/loans.md</t>
      </text>
    </comment>
    <comment ref="D64" authorId="0" shapeId="0">
      <text>
        <t>Loan: Amur Equipment Finance, AMORTIZING. Source: Loan 50 - data/loans.md</t>
      </text>
    </comment>
    <comment ref="E64" authorId="0" shapeId="0">
      <text>
        <t>Loan: Amur Equipment Finance, AMORTIZING. Source: Loan 50 - data/loans.md</t>
      </text>
    </comment>
    <comment ref="F64" authorId="0" shapeId="0">
      <text>
        <t>Loan: Amur Equipment Finance, AMORTIZING. Source: Loan 50 - data/loans.md</t>
      </text>
    </comment>
    <comment ref="C65" authorId="0" shapeId="0">
      <text>
        <t>Loan: Amur Equipment Finance, AMORTIZING. Source: Loan 50 - data/loans.md</t>
      </text>
    </comment>
    <comment ref="D65" authorId="0" shapeId="0">
      <text>
        <t>Loan: Amur Equipment Finance, AMORTIZING. Source: Loan 50 - data/loans.md</t>
      </text>
    </comment>
    <comment ref="E65" authorId="0" shapeId="0">
      <text>
        <t>Loan: Amur Equipment Finance, AMORTIZING. Source: Loan 50 - data/loans.md</t>
      </text>
    </comment>
    <comment ref="F65" authorId="0" shapeId="0">
      <text>
        <t>Loan: Amur Equipment Finance, AMORTIZING. Source: Loan 50 - data/loans.md</t>
      </text>
    </comment>
    <comment ref="C66" authorId="0" shapeId="0">
      <text>
        <t>Loan: Amur Equipment Finance, AMORTIZING. Source: Loan 50 - data/loans.md</t>
      </text>
    </comment>
    <comment ref="D66" authorId="0" shapeId="0">
      <text>
        <t>Loan: Amur Equipment Finance, AMORTIZING. Source: Loan 50 - data/loans.md</t>
      </text>
    </comment>
    <comment ref="E66" authorId="0" shapeId="0">
      <text>
        <t>Loan: Amur Equipment Finance, AMORTIZING. Source: Loan 50 - data/loans.md</t>
      </text>
    </comment>
    <comment ref="F66" authorId="0" shapeId="0">
      <text>
        <t>Loan: Amur Equipment Finance, AMORTIZING. Source: Loan 50 - data/loans.md</t>
      </text>
    </comment>
    <comment ref="C67" authorId="0" shapeId="0">
      <text>
        <t>Loan: Amur Equipment Finance, AMORTIZING. Source: Loan 50 - data/loans.md</t>
      </text>
    </comment>
    <comment ref="D67" authorId="0" shapeId="0">
      <text>
        <t>Loan: Amur Equipment Finance, AMORTIZING. Source: Loan 50 - data/loans.md</t>
      </text>
    </comment>
    <comment ref="E67" authorId="0" shapeId="0">
      <text>
        <t>Loan: Amur Equipment Finance, AMORTIZING. Source: Loan 50 - data/loans.md</t>
      </text>
    </comment>
    <comment ref="F67" authorId="0" shapeId="0">
      <text>
        <t>Loan: Amur Equipment Finance, AMORTIZING. Source: Loan 50 - data/loans.md</t>
      </text>
    </comment>
    <comment ref="C68" authorId="0" shapeId="0">
      <text>
        <t>Loan: Amur Equipment Finance, AMORTIZING. Source: Loan 50 - data/loans.md</t>
      </text>
    </comment>
    <comment ref="D68" authorId="0" shapeId="0">
      <text>
        <t>Loan: Amur Equipment Finance, AMORTIZING. Source: Loan 50 - data/loans.md</t>
      </text>
    </comment>
    <comment ref="E68" authorId="0" shapeId="0">
      <text>
        <t>Loan: Amur Equipment Finance, AMORTIZING. Source: Loan 50 - data/loans.md</t>
      </text>
    </comment>
    <comment ref="F68" authorId="0" shapeId="0">
      <text>
        <t>Loan: Amur Equipment Finance, AMORTIZING. Source: Loan 50 - data/loans.md</t>
      </text>
    </comment>
    <comment ref="C69" authorId="0" shapeId="0">
      <text>
        <t>Loan: Amur Equipment Finance, AMORTIZING. Source: Loan 50 - data/loans.md</t>
      </text>
    </comment>
    <comment ref="D69" authorId="0" shapeId="0">
      <text>
        <t>Loan: Amur Equipment Finance, AMORTIZING. Source: Loan 50 - data/loans.md</t>
      </text>
    </comment>
    <comment ref="E69" authorId="0" shapeId="0">
      <text>
        <t>Loan: Amur Equipment Finance, AMORTIZING. Source: Loan 50 - data/loans.md</t>
      </text>
    </comment>
    <comment ref="F69" authorId="0" shapeId="0">
      <text>
        <t>Loan: Amur Equipment Finance, AMORTIZING. Source: Loan 50 - data/loans.md</t>
      </text>
    </comment>
    <comment ref="C70" authorId="0" shapeId="0">
      <text>
        <t>Loan: Amur Equipment Finance, AMORTIZING. Source: Loan 50 - data/loans.md</t>
      </text>
    </comment>
    <comment ref="D70" authorId="0" shapeId="0">
      <text>
        <t>Loan: Amur Equipment Finance, AMORTIZING. Source: Loan 50 - data/loans.md</t>
      </text>
    </comment>
    <comment ref="E70" authorId="0" shapeId="0">
      <text>
        <t>Loan: Amur Equipment Finance, AMORTIZING. Source: Loan 50 - data/loans.md</t>
      </text>
    </comment>
    <comment ref="F70" authorId="0" shapeId="0">
      <text>
        <t>Loan: Amur Equipment Finance, AMORTIZING. Source: Loan 50 - data/loans.md</t>
      </text>
    </comment>
    <comment ref="C71" authorId="0" shapeId="0">
      <text>
        <t>Loan: Amur Equipment Finance, AMORTIZING. Source: Loan 50 - data/loans.md</t>
      </text>
    </comment>
    <comment ref="D71" authorId="0" shapeId="0">
      <text>
        <t>Loan: Amur Equipment Finance, AMORTIZING. Source: Loan 50 - data/loans.md</t>
      </text>
    </comment>
    <comment ref="E71" authorId="0" shapeId="0">
      <text>
        <t>Loan: Amur Equipment Finance, AMORTIZING. Source: Loan 50 - data/loans.md</t>
      </text>
    </comment>
    <comment ref="F71" authorId="0" shapeId="0">
      <text>
        <t>Loan: Amur Equipment Finance, AMORTIZING. Source: Loan 50 - data/loans.md</t>
      </text>
    </comment>
    <comment ref="C72" authorId="0" shapeId="0">
      <text>
        <t>Loan: Amur Equipment Finance, AMORTIZING. Source: Loan 50 - data/loans.md</t>
      </text>
    </comment>
    <comment ref="D72" authorId="0" shapeId="0">
      <text>
        <t>Loan: Amur Equipment Finance, AMORTIZING. Source: Loan 50 - data/loans.md</t>
      </text>
    </comment>
    <comment ref="E72" authorId="0" shapeId="0">
      <text>
        <t>Loan: Amur Equipment Finance, AMORTIZING. Source: Loan 50 - data/loans.md</t>
      </text>
    </comment>
    <comment ref="F72" authorId="0" shapeId="0">
      <text>
        <t>Loan: Amur Equipment Finance, AMORTIZING. Source: Loan 50 - data/loans.md</t>
      </text>
    </comment>
    <comment ref="C73" authorId="0" shapeId="0">
      <text>
        <t>Loan: Amur Equipment Finance, AMORTIZING. Source: Loan 50 - data/loans.md</t>
      </text>
    </comment>
    <comment ref="D73" authorId="0" shapeId="0">
      <text>
        <t>Loan: Amur Equipment Finance, AMORTIZING. Source: Loan 50 - data/loans.md</t>
      </text>
    </comment>
    <comment ref="E73" authorId="0" shapeId="0">
      <text>
        <t>Loan: Amur Equipment Finance, AMORTIZING. Source: Loan 50 - data/loans.md</t>
      </text>
    </comment>
    <comment ref="F73" authorId="0" shapeId="0">
      <text>
        <t>Loan: Amur Equipment Finance, AMORTIZING. Source: Loan 50 - data/loans.md</t>
      </text>
    </comment>
    <comment ref="C74" authorId="0" shapeId="0">
      <text>
        <t>Loan: Amur Equipment Finance, AMORTIZING. Source: Loan 50 - data/loans.md</t>
      </text>
    </comment>
    <comment ref="D74" authorId="0" shapeId="0">
      <text>
        <t>Loan: Amur Equipment Finance, AMORTIZING. Source: Loan 50 - data/loans.md</t>
      </text>
    </comment>
    <comment ref="E74" authorId="0" shapeId="0">
      <text>
        <t>Loan: Amur Equipment Finance, AMORTIZING. Source: Loan 50 - data/loans.md</t>
      </text>
    </comment>
    <comment ref="F74" authorId="0" shapeId="0">
      <text>
        <t>Loan: Amur Equipment Finance, AMORTIZING. Source: Loan 50 - data/loans.md</t>
      </text>
    </comment>
    <comment ref="C75" authorId="0" shapeId="0">
      <text>
        <t>Loan: Amur Equipment Finance, AMORTIZING. Source: Loan 50 - data/loans.md</t>
      </text>
    </comment>
    <comment ref="D75" authorId="0" shapeId="0">
      <text>
        <t>Loan: Amur Equipment Finance, AMORTIZING. Source: Loan 50 - data/loans.md</t>
      </text>
    </comment>
    <comment ref="E75" authorId="0" shapeId="0">
      <text>
        <t>Loan: Amur Equipment Finance, AMORTIZING. Source: Loan 50 - data/loans.md</t>
      </text>
    </comment>
    <comment ref="F75" authorId="0" shapeId="0">
      <text>
        <t>Loan: Amur Equipment Finance, AMORTIZING. Source: Loan 50 - data/loans.md</t>
      </text>
    </comment>
    <comment ref="C76" authorId="0" shapeId="0">
      <text>
        <t>Loan: Amur Equipment Finance, AMORTIZING. Source: Loan 50 - data/loans.md</t>
      </text>
    </comment>
    <comment ref="D76" authorId="0" shapeId="0">
      <text>
        <t>Loan: Amur Equipment Finance, AMORTIZING. Source: Loan 50 - data/loans.md</t>
      </text>
    </comment>
    <comment ref="E76" authorId="0" shapeId="0">
      <text>
        <t>Loan: Amur Equipment Finance, AMORTIZING. Source: Loan 50 - data/loans.md</t>
      </text>
    </comment>
    <comment ref="F76" authorId="0" shapeId="0">
      <text>
        <t>Loan: Amur Equipment Finance, AMORTIZING. Source: Loan 50 - data/loans.md</t>
      </text>
    </comment>
    <comment ref="C77" authorId="0" shapeId="0">
      <text>
        <t>Loan: Amur Equipment Finance, AMORTIZING. Source: Loan 50 - data/loans.md</t>
      </text>
    </comment>
    <comment ref="D77" authorId="0" shapeId="0">
      <text>
        <t>Loan: Amur Equipment Finance, AMORTIZING. Source: Loan 50 - data/loans.md</t>
      </text>
    </comment>
    <comment ref="E77" authorId="0" shapeId="0">
      <text>
        <t>Loan: Amur Equipment Finance, AMORTIZING. Source: Loan 50 - data/loans.md</t>
      </text>
    </comment>
    <comment ref="F77" authorId="0" shapeId="0">
      <text>
        <t>Loan: Amur Equipment Finance, AMORTIZING. Source: Loan 50 - data/loans.md</t>
      </text>
    </comment>
    <comment ref="C78" authorId="0" shapeId="0">
      <text>
        <t>Loan: Amur Equipment Finance, AMORTIZING. Source: Loan 50 - data/loans.md</t>
      </text>
    </comment>
    <comment ref="D78" authorId="0" shapeId="0">
      <text>
        <t>Loan: Amur Equipment Finance, AMORTIZING. Source: Loan 50 - data/loans.md</t>
      </text>
    </comment>
    <comment ref="E78" authorId="0" shapeId="0">
      <text>
        <t>Loan: Amur Equipment Finance, AMORTIZING. Source: Loan 50 - data/loans.md</t>
      </text>
    </comment>
    <comment ref="F78" authorId="0" shapeId="0">
      <text>
        <t>Loan: Amur Equipment Finance, AMORTIZING. Source: Loan 50 - data/loans.md</t>
      </text>
    </comment>
    <comment ref="C79" authorId="0" shapeId="0">
      <text>
        <t>Loan: Amur Equipment Finance, AMORTIZING. Source: Loan 50 - data/loans.md</t>
      </text>
    </comment>
    <comment ref="D79" authorId="0" shapeId="0">
      <text>
        <t>Loan: Amur Equipment Finance, AMORTIZING. Source: Loan 50 - data/loans.md</t>
      </text>
    </comment>
    <comment ref="E79" authorId="0" shapeId="0">
      <text>
        <t>Loan: Amur Equipment Finance, AMORTIZING. Source: Loan 50 - data/loans.md</t>
      </text>
    </comment>
    <comment ref="F79" authorId="0" shapeId="0">
      <text>
        <t>Loan: Amur Equipment Finance, AMORTIZING. Source: Loan 50 - data/loans.md</t>
      </text>
    </comment>
    <comment ref="C80" authorId="0" shapeId="0">
      <text>
        <t>Loan: Amur Equipment Finance, AMORTIZING. Source: Loan 50 - data/loans.md</t>
      </text>
    </comment>
    <comment ref="D80" authorId="0" shapeId="0">
      <text>
        <t>Loan: Amur Equipment Finance, AMORTIZING. Source: Loan 50 - data/loans.md</t>
      </text>
    </comment>
    <comment ref="E80" authorId="0" shapeId="0">
      <text>
        <t>Loan: Amur Equipment Finance, AMORTIZING. Source: Loan 50 - data/loans.md</t>
      </text>
    </comment>
    <comment ref="F80" authorId="0" shapeId="0">
      <text>
        <t>Loan: Amur Equipment Finance, AMORTIZING. Source: Loan 50 - data/loans.md</t>
      </text>
    </comment>
    <comment ref="C81" authorId="0" shapeId="0">
      <text>
        <t>Loan: Amur Equipment Finance, AMORTIZING. Source: Loan 50 - data/loans.md</t>
      </text>
    </comment>
    <comment ref="D81" authorId="0" shapeId="0">
      <text>
        <t>Loan: Amur Equipment Finance, AMORTIZING. Source: Loan 50 - data/loans.md</t>
      </text>
    </comment>
    <comment ref="E81" authorId="0" shapeId="0">
      <text>
        <t>Loan: Amur Equipment Finance, AMORTIZING. Source: Loan 50 - data/loans.md</t>
      </text>
    </comment>
    <comment ref="F81" authorId="0" shapeId="0">
      <text>
        <t>Loan: Amur Equipment Finance, AMORTIZING. Source: Loan 50 - data/loans.md</t>
      </text>
    </comment>
    <comment ref="C82" authorId="0" shapeId="0">
      <text>
        <t>Loan: Amur Equipment Finance, AMORTIZING. Source: Loan 50 - data/loans.md</t>
      </text>
    </comment>
    <comment ref="D82" authorId="0" shapeId="0">
      <text>
        <t>Loan: Amur Equipment Finance, AMORTIZING. Source: Loan 50 - data/loans.md</t>
      </text>
    </comment>
    <comment ref="E82" authorId="0" shapeId="0">
      <text>
        <t>Loan: Amur Equipment Finance, AMORTIZING. Source: Loan 50 - data/loans.md</t>
      </text>
    </comment>
    <comment ref="F82" authorId="0" shapeId="0">
      <text>
        <t>Loan: Amur Equipment Finance, AMORTIZING. Source: Loan 50 - data/loans.md</t>
      </text>
    </comment>
    <comment ref="C83" authorId="0" shapeId="0">
      <text>
        <t>Loan: Amur Equipment Finance, AMORTIZING. Source: Loan 50 - data/loans.md</t>
      </text>
    </comment>
    <comment ref="D83" authorId="0" shapeId="0">
      <text>
        <t>Loan: Amur Equipment Finance, AMORTIZING. Source: Loan 50 - data/loans.md</t>
      </text>
    </comment>
    <comment ref="E83" authorId="0" shapeId="0">
      <text>
        <t>Loan: Amur Equipment Finance, AMORTIZING. Source: Loan 50 - data/loans.md</t>
      </text>
    </comment>
    <comment ref="F83" authorId="0" shapeId="0">
      <text>
        <t>Loan: Amur Equipment Finance, AMORTIZING. Source: Loan 50 - data/loans.md</t>
      </text>
    </comment>
    <comment ref="C84" authorId="0" shapeId="0">
      <text>
        <t>Loan: Amur Equipment Finance, AMORTIZING. Source: Loan 50 - data/loans.md</t>
      </text>
    </comment>
    <comment ref="D84" authorId="0" shapeId="0">
      <text>
        <t>Loan: Amur Equipment Finance, AMORTIZING. Source: Loan 50 - data/loans.md</t>
      </text>
    </comment>
    <comment ref="E84" authorId="0" shapeId="0">
      <text>
        <t>Loan: Amur Equipment Finance, AMORTIZING. Source: Loan 50 - data/loans.md</t>
      </text>
    </comment>
    <comment ref="F84" authorId="0" shapeId="0">
      <text>
        <t>Loan: Amur Equipment Finance, AMORTIZING. Source: Loan 50 - data/loans.md</t>
      </text>
    </comment>
    <comment ref="C85" authorId="0" shapeId="0">
      <text>
        <t>Loan: Amur Equipment Finance, AMORTIZING. Source: Loan 50 - data/loans.md</t>
      </text>
    </comment>
    <comment ref="D85" authorId="0" shapeId="0">
      <text>
        <t>Loan: Amur Equipment Finance, AMORTIZING. Source: Loan 50 - data/loans.md</t>
      </text>
    </comment>
    <comment ref="E85" authorId="0" shapeId="0">
      <text>
        <t>Loan: Amur Equipment Finance, AMORTIZING. Source: Loan 50 - data/loans.md</t>
      </text>
    </comment>
    <comment ref="F85" authorId="0" shapeId="0">
      <text>
        <t>Loan: Amur Equipment Finance, AMORTIZING. Source: Loan 50 - data/loans.md</t>
      </text>
    </comment>
    <comment ref="C86" authorId="0" shapeId="0">
      <text>
        <t>Loan: Amur Equipment Finance, AMORTIZING. Source: Loan 50 - data/loans.md</t>
      </text>
    </comment>
    <comment ref="D86" authorId="0" shapeId="0">
      <text>
        <t>Loan: Amur Equipment Finance, AMORTIZING. Source: Loan 50 - data/loans.md</t>
      </text>
    </comment>
    <comment ref="E86" authorId="0" shapeId="0">
      <text>
        <t>Loan: Amur Equipment Finance, AMORTIZING. Source: Loan 50 - data/loans.md</t>
      </text>
    </comment>
    <comment ref="F86" authorId="0" shapeId="0">
      <text>
        <t>Loan: Amur Equipment Finance, AMORTIZING. Source: Loan 50 - data/loans.md</t>
      </text>
    </comment>
    <comment ref="C87" authorId="0" shapeId="0">
      <text>
        <t>Loan: Amur Equipment Finance, AMORTIZING. Source: Loan 50 - data/loans.md</t>
      </text>
    </comment>
    <comment ref="D87" authorId="0" shapeId="0">
      <text>
        <t>Loan: Amur Equipment Finance, AMORTIZING. Source: Loan 50 - data/loans.md</t>
      </text>
    </comment>
    <comment ref="E87" authorId="0" shapeId="0">
      <text>
        <t>Loan: Amur Equipment Finance, AMORTIZING. Source: Loan 50 - data/loans.md</t>
      </text>
    </comment>
    <comment ref="F87" authorId="0" shapeId="0">
      <text>
        <t>Loan: Amur Equipment Finance, AMORTIZING. Source: Loan 50 - data/loans.md</t>
      </text>
    </comment>
    <comment ref="C88" authorId="0" shapeId="0">
      <text>
        <t>Loan: Amur Equipment Finance, AMORTIZING. Source: Loan 50 - data/loans.md</t>
      </text>
    </comment>
    <comment ref="D88" authorId="0" shapeId="0">
      <text>
        <t>Loan: Amur Equipment Finance, AMORTIZING. Source: Loan 50 - data/loans.md</t>
      </text>
    </comment>
    <comment ref="E88" authorId="0" shapeId="0">
      <text>
        <t>Loan: Amur Equipment Finance, AMORTIZING. Source: Loan 50 - data/loans.md</t>
      </text>
    </comment>
    <comment ref="F88" authorId="0" shapeId="0">
      <text>
        <t>Loan: Amur Equipment Finance, AMORTIZING. Source: Loan 50 - data/loans.md</t>
      </text>
    </comment>
    <comment ref="B93" authorId="0" shapeId="0">
      <text>
        <t>Sum of rows 21-32: Opening balance for 2026</t>
      </text>
    </comment>
    <comment ref="C93" authorId="0" shapeId="0">
      <text>
        <t>Sum of rows 21-32: Total interest for 2026</t>
      </text>
    </comment>
    <comment ref="D93" authorId="0" shapeId="0">
      <text>
        <t>Sum of rows 21-32: Total principal for 2026</t>
      </text>
    </comment>
    <comment ref="E93" authorId="0" shapeId="0">
      <text>
        <t>Sum of rows 21-32: Closing balance for 2026</t>
      </text>
    </comment>
    <comment ref="B94" authorId="0" shapeId="0">
      <text>
        <t>Sum of rows 33-44: Opening balance for 2027</t>
      </text>
    </comment>
    <comment ref="C94" authorId="0" shapeId="0">
      <text>
        <t>Sum of rows 33-44: Total interest for 2027</t>
      </text>
    </comment>
    <comment ref="D94" authorId="0" shapeId="0">
      <text>
        <t>Sum of rows 33-44: Total principal for 2027</t>
      </text>
    </comment>
    <comment ref="E94" authorId="0" shapeId="0">
      <text>
        <t>Sum of rows 33-44: Closing balance for 2027</t>
      </text>
    </comment>
    <comment ref="B95" authorId="0" shapeId="0">
      <text>
        <t>Sum of rows 45-56: Opening balance for 2028</t>
      </text>
    </comment>
    <comment ref="C95" authorId="0" shapeId="0">
      <text>
        <t>Sum of rows 45-56: Total interest for 2028</t>
      </text>
    </comment>
    <comment ref="D95" authorId="0" shapeId="0">
      <text>
        <t>Sum of rows 45-56: Total principal for 2028</t>
      </text>
    </comment>
    <comment ref="E95" authorId="0" shapeId="0">
      <text>
        <t>Sum of rows 45-56: Closing balance for 2028</t>
      </text>
    </comment>
    <comment ref="B98" authorId="0" shapeId="0">
      <text>
        <t>Reference cell for Debt Schedule linking. Links to: B10.</t>
      </text>
    </comment>
  </commentList>
</comments>
</file>

<file path=xl/comments/comment37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 51 - data/loans.md</t>
      </text>
    </comment>
    <comment ref="B9" authorId="0" shapeId="0">
      <text>
        <t>Source: Loan 51 - data/loans.md
Original loan amount at origination.</t>
      </text>
    </comment>
    <comment ref="B10" authorId="0" shapeId="0">
      <text>
        <t>Source: Loan 51 - data/loans.md
Balance as of 12/31/2025.</t>
      </text>
    </comment>
    <comment ref="B11" authorId="0" shapeId="0">
      <text>
        <t>Source: Loan 51 - data/loans.md
Annual interest rate.</t>
      </text>
    </comment>
    <comment ref="B12" authorId="0" shapeId="0">
      <text>
        <t>Source: Loan 51 - data/loans.md
Fixed monthly payment amount.</t>
      </text>
    </comment>
    <comment ref="C21" authorId="0" shapeId="0">
      <text>
        <t>Loan: Daimler, AMORTIZING. Source: Loan 51 - data/loans.md</t>
      </text>
    </comment>
    <comment ref="D21" authorId="0" shapeId="0">
      <text>
        <t>Loan: Daimler, AMORTIZING. Source: Loan 51 - data/loans.md</t>
      </text>
    </comment>
    <comment ref="E21" authorId="0" shapeId="0">
      <text>
        <t>Loan: Daimler, AMORTIZING. Source: Loan 51 - data/loans.md</t>
      </text>
    </comment>
    <comment ref="F21" authorId="0" shapeId="0">
      <text>
        <t>Loan: Daimler, AMORTIZING. Source: Loan 51 - data/loans.md</t>
      </text>
    </comment>
    <comment ref="C22" authorId="0" shapeId="0">
      <text>
        <t>Loan: Daimler, AMORTIZING. Source: Loan 51 - data/loans.md</t>
      </text>
    </comment>
    <comment ref="D22" authorId="0" shapeId="0">
      <text>
        <t>Loan: Daimler, AMORTIZING. Source: Loan 51 - data/loans.md</t>
      </text>
    </comment>
    <comment ref="E22" authorId="0" shapeId="0">
      <text>
        <t>Loan: Daimler, AMORTIZING. Source: Loan 51 - data/loans.md</t>
      </text>
    </comment>
    <comment ref="F22" authorId="0" shapeId="0">
      <text>
        <t>Loan: Daimler, AMORTIZING. Source: Loan 51 - data/loans.md</t>
      </text>
    </comment>
    <comment ref="C23" authorId="0" shapeId="0">
      <text>
        <t>Loan: Daimler, AMORTIZING. Source: Loan 51 - data/loans.md</t>
      </text>
    </comment>
    <comment ref="D23" authorId="0" shapeId="0">
      <text>
        <t>Loan: Daimler, AMORTIZING. Source: Loan 51 - data/loans.md</t>
      </text>
    </comment>
    <comment ref="E23" authorId="0" shapeId="0">
      <text>
        <t>Loan: Daimler, AMORTIZING. Source: Loan 51 - data/loans.md</t>
      </text>
    </comment>
    <comment ref="F23" authorId="0" shapeId="0">
      <text>
        <t>Loan: Daimler, AMORTIZING. Source: Loan 51 - data/loans.md</t>
      </text>
    </comment>
    <comment ref="C24" authorId="0" shapeId="0">
      <text>
        <t>Loan: Daimler, AMORTIZING. Source: Loan 51 - data/loans.md</t>
      </text>
    </comment>
    <comment ref="D24" authorId="0" shapeId="0">
      <text>
        <t>Loan: Daimler, AMORTIZING. Source: Loan 51 - data/loans.md</t>
      </text>
    </comment>
    <comment ref="E24" authorId="0" shapeId="0">
      <text>
        <t>Loan: Daimler, AMORTIZING. Source: Loan 51 - data/loans.md</t>
      </text>
    </comment>
    <comment ref="F24" authorId="0" shapeId="0">
      <text>
        <t>Loan: Daimler, AMORTIZING. Source: Loan 51 - data/loans.md</t>
      </text>
    </comment>
    <comment ref="C25" authorId="0" shapeId="0">
      <text>
        <t>Loan: Daimler, AMORTIZING. Source: Loan 51 - data/loans.md</t>
      </text>
    </comment>
    <comment ref="D25" authorId="0" shapeId="0">
      <text>
        <t>Loan: Daimler, AMORTIZING. Source: Loan 51 - data/loans.md</t>
      </text>
    </comment>
    <comment ref="E25" authorId="0" shapeId="0">
      <text>
        <t>Loan: Daimler, AMORTIZING. Source: Loan 51 - data/loans.md</t>
      </text>
    </comment>
    <comment ref="F25" authorId="0" shapeId="0">
      <text>
        <t>Loan: Daimler, AMORTIZING. Source: Loan 51 - data/loans.md</t>
      </text>
    </comment>
    <comment ref="C26" authorId="0" shapeId="0">
      <text>
        <t>Loan: Daimler, AMORTIZING. Source: Loan 51 - data/loans.md</t>
      </text>
    </comment>
    <comment ref="D26" authorId="0" shapeId="0">
      <text>
        <t>Loan: Daimler, AMORTIZING. Source: Loan 51 - data/loans.md</t>
      </text>
    </comment>
    <comment ref="E26" authorId="0" shapeId="0">
      <text>
        <t>Loan: Daimler, AMORTIZING. Source: Loan 51 - data/loans.md</t>
      </text>
    </comment>
    <comment ref="F26" authorId="0" shapeId="0">
      <text>
        <t>Loan: Daimler, AMORTIZING. Source: Loan 51 - data/loans.md</t>
      </text>
    </comment>
    <comment ref="C27" authorId="0" shapeId="0">
      <text>
        <t>Loan: Daimler, AMORTIZING. Source: Loan 51 - data/loans.md</t>
      </text>
    </comment>
    <comment ref="D27" authorId="0" shapeId="0">
      <text>
        <t>Loan: Daimler, AMORTIZING. Source: Loan 51 - data/loans.md</t>
      </text>
    </comment>
    <comment ref="E27" authorId="0" shapeId="0">
      <text>
        <t>Loan: Daimler, AMORTIZING. Source: Loan 51 - data/loans.md</t>
      </text>
    </comment>
    <comment ref="F27" authorId="0" shapeId="0">
      <text>
        <t>Loan: Daimler, AMORTIZING. Source: Loan 51 - data/loans.md</t>
      </text>
    </comment>
    <comment ref="C28" authorId="0" shapeId="0">
      <text>
        <t>Loan: Daimler, AMORTIZING. Source: Loan 51 - data/loans.md</t>
      </text>
    </comment>
    <comment ref="D28" authorId="0" shapeId="0">
      <text>
        <t>Loan: Daimler, AMORTIZING. Source: Loan 51 - data/loans.md</t>
      </text>
    </comment>
    <comment ref="E28" authorId="0" shapeId="0">
      <text>
        <t>Loan: Daimler, AMORTIZING. Source: Loan 51 - data/loans.md</t>
      </text>
    </comment>
    <comment ref="F28" authorId="0" shapeId="0">
      <text>
        <t>Loan: Daimler, AMORTIZING. Source: Loan 51 - data/loans.md</t>
      </text>
    </comment>
    <comment ref="C29" authorId="0" shapeId="0">
      <text>
        <t>Loan: Daimler, AMORTIZING. Source: Loan 51 - data/loans.md</t>
      </text>
    </comment>
    <comment ref="D29" authorId="0" shapeId="0">
      <text>
        <t>Loan: Daimler, AMORTIZING. Source: Loan 51 - data/loans.md</t>
      </text>
    </comment>
    <comment ref="E29" authorId="0" shapeId="0">
      <text>
        <t>Loan: Daimler, AMORTIZING. Source: Loan 51 - data/loans.md</t>
      </text>
    </comment>
    <comment ref="F29" authorId="0" shapeId="0">
      <text>
        <t>Loan: Daimler, AMORTIZING. Source: Loan 51 - data/loans.md</t>
      </text>
    </comment>
    <comment ref="C30" authorId="0" shapeId="0">
      <text>
        <t>Loan: Daimler, AMORTIZING. Source: Loan 51 - data/loans.md</t>
      </text>
    </comment>
    <comment ref="D30" authorId="0" shapeId="0">
      <text>
        <t>Loan: Daimler, AMORTIZING. Source: Loan 51 - data/loans.md</t>
      </text>
    </comment>
    <comment ref="E30" authorId="0" shapeId="0">
      <text>
        <t>Loan: Daimler, AMORTIZING. Source: Loan 51 - data/loans.md</t>
      </text>
    </comment>
    <comment ref="F30" authorId="0" shapeId="0">
      <text>
        <t>Loan: Daimler, AMORTIZING. Source: Loan 51 - data/loans.md</t>
      </text>
    </comment>
    <comment ref="C31" authorId="0" shapeId="0">
      <text>
        <t>Loan: Daimler, AMORTIZING. Source: Loan 51 - data/loans.md</t>
      </text>
    </comment>
    <comment ref="D31" authorId="0" shapeId="0">
      <text>
        <t>Loan: Daimler, AMORTIZING. Source: Loan 51 - data/loans.md</t>
      </text>
    </comment>
    <comment ref="E31" authorId="0" shapeId="0">
      <text>
        <t>Loan: Daimler, AMORTIZING. Source: Loan 51 - data/loans.md</t>
      </text>
    </comment>
    <comment ref="F31" authorId="0" shapeId="0">
      <text>
        <t>Loan: Daimler, AMORTIZING. Source: Loan 51 - data/loans.md</t>
      </text>
    </comment>
    <comment ref="C32" authorId="0" shapeId="0">
      <text>
        <t>Loan: Daimler, AMORTIZING. Source: Loan 51 - data/loans.md</t>
      </text>
    </comment>
    <comment ref="D32" authorId="0" shapeId="0">
      <text>
        <t>Loan: Daimler, AMORTIZING. Source: Loan 51 - data/loans.md</t>
      </text>
    </comment>
    <comment ref="E32" authorId="0" shapeId="0">
      <text>
        <t>Loan: Daimler, AMORTIZING. Source: Loan 51 - data/loans.md</t>
      </text>
    </comment>
    <comment ref="F32" authorId="0" shapeId="0">
      <text>
        <t>Loan: Daimler, AMORTIZING. Source: Loan 51 - data/loans.md</t>
      </text>
    </comment>
    <comment ref="C33" authorId="0" shapeId="0">
      <text>
        <t>Loan: Daimler, AMORTIZING. Source: Loan 51 - data/loans.md</t>
      </text>
    </comment>
    <comment ref="D33" authorId="0" shapeId="0">
      <text>
        <t>Loan: Daimler, AMORTIZING. Source: Loan 51 - data/loans.md</t>
      </text>
    </comment>
    <comment ref="E33" authorId="0" shapeId="0">
      <text>
        <t>Loan: Daimler, AMORTIZING. Source: Loan 51 - data/loans.md</t>
      </text>
    </comment>
    <comment ref="F33" authorId="0" shapeId="0">
      <text>
        <t>Loan: Daimler, AMORTIZING. Source: Loan 51 - data/loans.md</t>
      </text>
    </comment>
    <comment ref="C34" authorId="0" shapeId="0">
      <text>
        <t>Loan: Daimler, AMORTIZING. Source: Loan 51 - data/loans.md</t>
      </text>
    </comment>
    <comment ref="D34" authorId="0" shapeId="0">
      <text>
        <t>Loan: Daimler, AMORTIZING. Source: Loan 51 - data/loans.md</t>
      </text>
    </comment>
    <comment ref="E34" authorId="0" shapeId="0">
      <text>
        <t>Loan: Daimler, AMORTIZING. Source: Loan 51 - data/loans.md</t>
      </text>
    </comment>
    <comment ref="F34" authorId="0" shapeId="0">
      <text>
        <t>Loan: Daimler, AMORTIZING. Source: Loan 51 - data/loans.md</t>
      </text>
    </comment>
    <comment ref="C35" authorId="0" shapeId="0">
      <text>
        <t>Loan: Daimler, AMORTIZING. Source: Loan 51 - data/loans.md</t>
      </text>
    </comment>
    <comment ref="D35" authorId="0" shapeId="0">
      <text>
        <t>Loan: Daimler, AMORTIZING. Source: Loan 51 - data/loans.md</t>
      </text>
    </comment>
    <comment ref="E35" authorId="0" shapeId="0">
      <text>
        <t>Loan: Daimler, AMORTIZING. Source: Loan 51 - data/loans.md</t>
      </text>
    </comment>
    <comment ref="F35" authorId="0" shapeId="0">
      <text>
        <t>Loan: Daimler, AMORTIZING. Source: Loan 51 - data/loans.md</t>
      </text>
    </comment>
    <comment ref="C36" authorId="0" shapeId="0">
      <text>
        <t>Loan: Daimler, AMORTIZING. Source: Loan 51 - data/loans.md</t>
      </text>
    </comment>
    <comment ref="D36" authorId="0" shapeId="0">
      <text>
        <t>Loan: Daimler, AMORTIZING. Source: Loan 51 - data/loans.md</t>
      </text>
    </comment>
    <comment ref="E36" authorId="0" shapeId="0">
      <text>
        <t>Loan: Daimler, AMORTIZING. Source: Loan 51 - data/loans.md</t>
      </text>
    </comment>
    <comment ref="F36" authorId="0" shapeId="0">
      <text>
        <t>Loan: Daimler, AMORTIZING. Source: Loan 51 - data/loans.md</t>
      </text>
    </comment>
    <comment ref="C37" authorId="0" shapeId="0">
      <text>
        <t>Loan: Daimler, AMORTIZING. Source: Loan 51 - data/loans.md</t>
      </text>
    </comment>
    <comment ref="D37" authorId="0" shapeId="0">
      <text>
        <t>Loan: Daimler, AMORTIZING. Source: Loan 51 - data/loans.md</t>
      </text>
    </comment>
    <comment ref="E37" authorId="0" shapeId="0">
      <text>
        <t>Loan: Daimler, AMORTIZING. Source: Loan 51 - data/loans.md</t>
      </text>
    </comment>
    <comment ref="F37" authorId="0" shapeId="0">
      <text>
        <t>Loan: Daimler, AMORTIZING. Source: Loan 51 - data/loans.md</t>
      </text>
    </comment>
    <comment ref="C38" authorId="0" shapeId="0">
      <text>
        <t>Loan: Daimler, AMORTIZING. Source: Loan 51 - data/loans.md</t>
      </text>
    </comment>
    <comment ref="D38" authorId="0" shapeId="0">
      <text>
        <t>Loan: Daimler, AMORTIZING. Source: Loan 51 - data/loans.md</t>
      </text>
    </comment>
    <comment ref="E38" authorId="0" shapeId="0">
      <text>
        <t>Loan: Daimler, AMORTIZING. Source: Loan 51 - data/loans.md</t>
      </text>
    </comment>
    <comment ref="F38" authorId="0" shapeId="0">
      <text>
        <t>Loan: Daimler, AMORTIZING. Source: Loan 51 - data/loans.md</t>
      </text>
    </comment>
    <comment ref="C39" authorId="0" shapeId="0">
      <text>
        <t>Loan: Daimler, AMORTIZING. Source: Loan 51 - data/loans.md</t>
      </text>
    </comment>
    <comment ref="D39" authorId="0" shapeId="0">
      <text>
        <t>Loan: Daimler, AMORTIZING. Source: Loan 51 - data/loans.md</t>
      </text>
    </comment>
    <comment ref="E39" authorId="0" shapeId="0">
      <text>
        <t>Loan: Daimler, AMORTIZING. Source: Loan 51 - data/loans.md</t>
      </text>
    </comment>
    <comment ref="F39" authorId="0" shapeId="0">
      <text>
        <t>Loan: Daimler, AMORTIZING. Source: Loan 51 - data/loans.md</t>
      </text>
    </comment>
    <comment ref="C40" authorId="0" shapeId="0">
      <text>
        <t>Loan: Daimler, AMORTIZING. Source: Loan 51 - data/loans.md</t>
      </text>
    </comment>
    <comment ref="D40" authorId="0" shapeId="0">
      <text>
        <t>Loan: Daimler, AMORTIZING. Source: Loan 51 - data/loans.md</t>
      </text>
    </comment>
    <comment ref="E40" authorId="0" shapeId="0">
      <text>
        <t>Loan: Daimler, AMORTIZING. Source: Loan 51 - data/loans.md</t>
      </text>
    </comment>
    <comment ref="F40" authorId="0" shapeId="0">
      <text>
        <t>Loan: Daimler, AMORTIZING. Source: Loan 51 - data/loans.md</t>
      </text>
    </comment>
    <comment ref="C41" authorId="0" shapeId="0">
      <text>
        <t>Loan: Daimler, AMORTIZING. Source: Loan 51 - data/loans.md</t>
      </text>
    </comment>
    <comment ref="D41" authorId="0" shapeId="0">
      <text>
        <t>Loan: Daimler, AMORTIZING. Source: Loan 51 - data/loans.md</t>
      </text>
    </comment>
    <comment ref="E41" authorId="0" shapeId="0">
      <text>
        <t>Loan: Daimler, AMORTIZING. Source: Loan 51 - data/loans.md</t>
      </text>
    </comment>
    <comment ref="F41" authorId="0" shapeId="0">
      <text>
        <t>Loan: Daimler, AMORTIZING. Source: Loan 51 - data/loans.md</t>
      </text>
    </comment>
    <comment ref="C42" authorId="0" shapeId="0">
      <text>
        <t>Loan: Daimler, AMORTIZING. Source: Loan 51 - data/loans.md</t>
      </text>
    </comment>
    <comment ref="D42" authorId="0" shapeId="0">
      <text>
        <t>Loan: Daimler, AMORTIZING. Source: Loan 51 - data/loans.md</t>
      </text>
    </comment>
    <comment ref="E42" authorId="0" shapeId="0">
      <text>
        <t>Loan: Daimler, AMORTIZING. Source: Loan 51 - data/loans.md</t>
      </text>
    </comment>
    <comment ref="F42" authorId="0" shapeId="0">
      <text>
        <t>Loan: Daimler, AMORTIZING. Source: Loan 51 - data/loans.md</t>
      </text>
    </comment>
    <comment ref="C43" authorId="0" shapeId="0">
      <text>
        <t>Loan: Daimler, AMORTIZING. Source: Loan 51 - data/loans.md</t>
      </text>
    </comment>
    <comment ref="D43" authorId="0" shapeId="0">
      <text>
        <t>Loan: Daimler, AMORTIZING. Source: Loan 51 - data/loans.md</t>
      </text>
    </comment>
    <comment ref="E43" authorId="0" shapeId="0">
      <text>
        <t>Loan: Daimler, AMORTIZING. Source: Loan 51 - data/loans.md</t>
      </text>
    </comment>
    <comment ref="F43" authorId="0" shapeId="0">
      <text>
        <t>Loan: Daimler, AMORTIZING. Source: Loan 51 - data/loans.md</t>
      </text>
    </comment>
    <comment ref="C44" authorId="0" shapeId="0">
      <text>
        <t>Loan: Daimler, AMORTIZING. Source: Loan 51 - data/loans.md</t>
      </text>
    </comment>
    <comment ref="D44" authorId="0" shapeId="0">
      <text>
        <t>Loan: Daimler, AMORTIZING. Source: Loan 51 - data/loans.md</t>
      </text>
    </comment>
    <comment ref="E44" authorId="0" shapeId="0">
      <text>
        <t>Loan: Daimler, AMORTIZING. Source: Loan 51 - data/loans.md</t>
      </text>
    </comment>
    <comment ref="F44" authorId="0" shapeId="0">
      <text>
        <t>Loan: Daimler, AMORTIZING. Source: Loan 51 - data/loans.md</t>
      </text>
    </comment>
    <comment ref="C45" authorId="0" shapeId="0">
      <text>
        <t>Loan: Daimler, AMORTIZING. Source: Loan 51 - data/loans.md</t>
      </text>
    </comment>
    <comment ref="D45" authorId="0" shapeId="0">
      <text>
        <t>Loan: Daimler, AMORTIZING. Source: Loan 51 - data/loans.md</t>
      </text>
    </comment>
    <comment ref="E45" authorId="0" shapeId="0">
      <text>
        <t>Loan: Daimler, AMORTIZING. Source: Loan 51 - data/loans.md</t>
      </text>
    </comment>
    <comment ref="F45" authorId="0" shapeId="0">
      <text>
        <t>Loan: Daimler, AMORTIZING. Source: Loan 51 - data/loans.md</t>
      </text>
    </comment>
    <comment ref="C46" authorId="0" shapeId="0">
      <text>
        <t>Loan: Daimler, AMORTIZING. Source: Loan 51 - data/loans.md</t>
      </text>
    </comment>
    <comment ref="D46" authorId="0" shapeId="0">
      <text>
        <t>Loan: Daimler, AMORTIZING. Source: Loan 51 - data/loans.md</t>
      </text>
    </comment>
    <comment ref="E46" authorId="0" shapeId="0">
      <text>
        <t>Loan: Daimler, AMORTIZING. Source: Loan 51 - data/loans.md</t>
      </text>
    </comment>
    <comment ref="F46" authorId="0" shapeId="0">
      <text>
        <t>Loan: Daimler, AMORTIZING. Source: Loan 51 - data/loans.md</t>
      </text>
    </comment>
    <comment ref="C47" authorId="0" shapeId="0">
      <text>
        <t>Loan: Daimler, AMORTIZING. Source: Loan 51 - data/loans.md</t>
      </text>
    </comment>
    <comment ref="D47" authorId="0" shapeId="0">
      <text>
        <t>Loan: Daimler, AMORTIZING. Source: Loan 51 - data/loans.md</t>
      </text>
    </comment>
    <comment ref="E47" authorId="0" shapeId="0">
      <text>
        <t>Loan: Daimler, AMORTIZING. Source: Loan 51 - data/loans.md</t>
      </text>
    </comment>
    <comment ref="F47" authorId="0" shapeId="0">
      <text>
        <t>Loan: Daimler, AMORTIZING. Source: Loan 51 - data/loans.md</t>
      </text>
    </comment>
    <comment ref="C48" authorId="0" shapeId="0">
      <text>
        <t>Loan: Daimler, AMORTIZING. Source: Loan 51 - data/loans.md</t>
      </text>
    </comment>
    <comment ref="D48" authorId="0" shapeId="0">
      <text>
        <t>Loan: Daimler, AMORTIZING. Source: Loan 51 - data/loans.md</t>
      </text>
    </comment>
    <comment ref="E48" authorId="0" shapeId="0">
      <text>
        <t>Loan: Daimler, AMORTIZING. Source: Loan 51 - data/loans.md</t>
      </text>
    </comment>
    <comment ref="F48" authorId="0" shapeId="0">
      <text>
        <t>Loan: Daimler, AMORTIZING. Source: Loan 51 - data/loans.md</t>
      </text>
    </comment>
    <comment ref="C49" authorId="0" shapeId="0">
      <text>
        <t>Loan: Daimler, AMORTIZING. Source: Loan 51 - data/loans.md</t>
      </text>
    </comment>
    <comment ref="D49" authorId="0" shapeId="0">
      <text>
        <t>Loan: Daimler, AMORTIZING. Source: Loan 51 - data/loans.md</t>
      </text>
    </comment>
    <comment ref="E49" authorId="0" shapeId="0">
      <text>
        <t>Loan: Daimler, AMORTIZING. Source: Loan 51 - data/loans.md</t>
      </text>
    </comment>
    <comment ref="F49" authorId="0" shapeId="0">
      <text>
        <t>Loan: Daimler, AMORTIZING. Source: Loan 51 - data/loans.md</t>
      </text>
    </comment>
    <comment ref="C50" authorId="0" shapeId="0">
      <text>
        <t>Loan: Daimler, AMORTIZING. Source: Loan 51 - data/loans.md</t>
      </text>
    </comment>
    <comment ref="D50" authorId="0" shapeId="0">
      <text>
        <t>Loan: Daimler, AMORTIZING. Source: Loan 51 - data/loans.md</t>
      </text>
    </comment>
    <comment ref="E50" authorId="0" shapeId="0">
      <text>
        <t>Loan: Daimler, AMORTIZING. Source: Loan 51 - data/loans.md</t>
      </text>
    </comment>
    <comment ref="F50" authorId="0" shapeId="0">
      <text>
        <t>Loan: Daimler, AMORTIZING. Source: Loan 51 - data/loans.md</t>
      </text>
    </comment>
    <comment ref="C51" authorId="0" shapeId="0">
      <text>
        <t>Loan: Daimler, AMORTIZING. Source: Loan 51 - data/loans.md</t>
      </text>
    </comment>
    <comment ref="D51" authorId="0" shapeId="0">
      <text>
        <t>Loan: Daimler, AMORTIZING. Source: Loan 51 - data/loans.md</t>
      </text>
    </comment>
    <comment ref="E51" authorId="0" shapeId="0">
      <text>
        <t>Loan: Daimler, AMORTIZING. Source: Loan 51 - data/loans.md</t>
      </text>
    </comment>
    <comment ref="F51" authorId="0" shapeId="0">
      <text>
        <t>Loan: Daimler, AMORTIZING. Source: Loan 51 - data/loans.md</t>
      </text>
    </comment>
    <comment ref="C52" authorId="0" shapeId="0">
      <text>
        <t>Loan: Daimler, AMORTIZING. Source: Loan 51 - data/loans.md</t>
      </text>
    </comment>
    <comment ref="D52" authorId="0" shapeId="0">
      <text>
        <t>Loan: Daimler, AMORTIZING. Source: Loan 51 - data/loans.md</t>
      </text>
    </comment>
    <comment ref="E52" authorId="0" shapeId="0">
      <text>
        <t>Loan: Daimler, AMORTIZING. Source: Loan 51 - data/loans.md</t>
      </text>
    </comment>
    <comment ref="F52" authorId="0" shapeId="0">
      <text>
        <t>Loan: Daimler, AMORTIZING. Source: Loan 51 - data/loans.md</t>
      </text>
    </comment>
    <comment ref="C53" authorId="0" shapeId="0">
      <text>
        <t>Loan: Daimler, AMORTIZING. Source: Loan 51 - data/loans.md</t>
      </text>
    </comment>
    <comment ref="D53" authorId="0" shapeId="0">
      <text>
        <t>Loan: Daimler, AMORTIZING. Source: Loan 51 - data/loans.md</t>
      </text>
    </comment>
    <comment ref="E53" authorId="0" shapeId="0">
      <text>
        <t>Loan: Daimler, AMORTIZING. Source: Loan 51 - data/loans.md</t>
      </text>
    </comment>
    <comment ref="F53" authorId="0" shapeId="0">
      <text>
        <t>Loan: Daimler, AMORTIZING. Source: Loan 51 - data/loans.md</t>
      </text>
    </comment>
    <comment ref="C54" authorId="0" shapeId="0">
      <text>
        <t>Loan: Daimler, AMORTIZING. Source: Loan 51 - data/loans.md</t>
      </text>
    </comment>
    <comment ref="D54" authorId="0" shapeId="0">
      <text>
        <t>Loan: Daimler, AMORTIZING. Source: Loan 51 - data/loans.md</t>
      </text>
    </comment>
    <comment ref="E54" authorId="0" shapeId="0">
      <text>
        <t>Loan: Daimler, AMORTIZING. Source: Loan 51 - data/loans.md</t>
      </text>
    </comment>
    <comment ref="F54" authorId="0" shapeId="0">
      <text>
        <t>Loan: Daimler, AMORTIZING. Source: Loan 51 - data/loans.md</t>
      </text>
    </comment>
    <comment ref="C55" authorId="0" shapeId="0">
      <text>
        <t>Loan: Daimler, AMORTIZING. Source: Loan 51 - data/loans.md</t>
      </text>
    </comment>
    <comment ref="D55" authorId="0" shapeId="0">
      <text>
        <t>Loan: Daimler, AMORTIZING. Source: Loan 51 - data/loans.md</t>
      </text>
    </comment>
    <comment ref="E55" authorId="0" shapeId="0">
      <text>
        <t>Loan: Daimler, AMORTIZING. Source: Loan 51 - data/loans.md</t>
      </text>
    </comment>
    <comment ref="F55" authorId="0" shapeId="0">
      <text>
        <t>Loan: Daimler, AMORTIZING. Source: Loan 51 - data/loans.md</t>
      </text>
    </comment>
    <comment ref="C56" authorId="0" shapeId="0">
      <text>
        <t>Loan: Daimler, AMORTIZING. Source: Loan 51 - data/loans.md</t>
      </text>
    </comment>
    <comment ref="D56" authorId="0" shapeId="0">
      <text>
        <t>Loan: Daimler, AMORTIZING. Source: Loan 51 - data/loans.md</t>
      </text>
    </comment>
    <comment ref="E56" authorId="0" shapeId="0">
      <text>
        <t>Loan: Daimler, AMORTIZING. Source: Loan 51 - data/loans.md</t>
      </text>
    </comment>
    <comment ref="F56" authorId="0" shapeId="0">
      <text>
        <t>Loan: Daimler, AMORTIZING. Source: Loan 51 - data/loans.md</t>
      </text>
    </comment>
    <comment ref="C57" authorId="0" shapeId="0">
      <text>
        <t>Loan: Daimler, AMORTIZING. Source: Loan 51 - data/loans.md</t>
      </text>
    </comment>
    <comment ref="D57" authorId="0" shapeId="0">
      <text>
        <t>Loan: Daimler, AMORTIZING. Source: Loan 51 - data/loans.md</t>
      </text>
    </comment>
    <comment ref="E57" authorId="0" shapeId="0">
      <text>
        <t>Loan: Daimler, AMORTIZING. Source: Loan 51 - data/loans.md</t>
      </text>
    </comment>
    <comment ref="F57" authorId="0" shapeId="0">
      <text>
        <t>Loan: Daimler, AMORTIZING. Source: Loan 51 - data/loans.md</t>
      </text>
    </comment>
    <comment ref="C58" authorId="0" shapeId="0">
      <text>
        <t>Loan: Daimler, AMORTIZING. Source: Loan 51 - data/loans.md</t>
      </text>
    </comment>
    <comment ref="D58" authorId="0" shapeId="0">
      <text>
        <t>Loan: Daimler, AMORTIZING. Source: Loan 51 - data/loans.md</t>
      </text>
    </comment>
    <comment ref="E58" authorId="0" shapeId="0">
      <text>
        <t>Loan: Daimler, AMORTIZING. Source: Loan 51 - data/loans.md</t>
      </text>
    </comment>
    <comment ref="F58" authorId="0" shapeId="0">
      <text>
        <t>Loan: Daimler, AMORTIZING. Source: Loan 51 - data/loans.md</t>
      </text>
    </comment>
    <comment ref="C59" authorId="0" shapeId="0">
      <text>
        <t>Loan: Daimler, AMORTIZING. Source: Loan 51 - data/loans.md</t>
      </text>
    </comment>
    <comment ref="D59" authorId="0" shapeId="0">
      <text>
        <t>Loan: Daimler, AMORTIZING. Source: Loan 51 - data/loans.md</t>
      </text>
    </comment>
    <comment ref="E59" authorId="0" shapeId="0">
      <text>
        <t>Loan: Daimler, AMORTIZING. Source: Loan 51 - data/loans.md</t>
      </text>
    </comment>
    <comment ref="F59" authorId="0" shapeId="0">
      <text>
        <t>Loan: Daimler, AMORTIZING. Source: Loan 51 - data/loans.md</t>
      </text>
    </comment>
    <comment ref="C60" authorId="0" shapeId="0">
      <text>
        <t>Loan: Daimler, AMORTIZING. Source: Loan 51 - data/loans.md</t>
      </text>
    </comment>
    <comment ref="D60" authorId="0" shapeId="0">
      <text>
        <t>Loan: Daimler, AMORTIZING. Source: Loan 51 - data/loans.md</t>
      </text>
    </comment>
    <comment ref="E60" authorId="0" shapeId="0">
      <text>
        <t>Loan: Daimler, AMORTIZING. Source: Loan 51 - data/loans.md</t>
      </text>
    </comment>
    <comment ref="F60" authorId="0" shapeId="0">
      <text>
        <t>Loan: Daimler, AMORTIZING. Source: Loan 51 - data/loans.md</t>
      </text>
    </comment>
    <comment ref="C61" authorId="0" shapeId="0">
      <text>
        <t>Loan: Daimler, AMORTIZING. Source: Loan 51 - data/loans.md</t>
      </text>
    </comment>
    <comment ref="D61" authorId="0" shapeId="0">
      <text>
        <t>Loan: Daimler, AMORTIZING. Source: Loan 51 - data/loans.md</t>
      </text>
    </comment>
    <comment ref="E61" authorId="0" shapeId="0">
      <text>
        <t>Loan: Daimler, AMORTIZING. Source: Loan 51 - data/loans.md</t>
      </text>
    </comment>
    <comment ref="F61" authorId="0" shapeId="0">
      <text>
        <t>Loan: Daimler, AMORTIZING. Source: Loan 51 - data/loans.md</t>
      </text>
    </comment>
    <comment ref="C62" authorId="0" shapeId="0">
      <text>
        <t>Loan: Daimler, AMORTIZING. Source: Loan 51 - data/loans.md</t>
      </text>
    </comment>
    <comment ref="D62" authorId="0" shapeId="0">
      <text>
        <t>Loan: Daimler, AMORTIZING. Source: Loan 51 - data/loans.md</t>
      </text>
    </comment>
    <comment ref="E62" authorId="0" shapeId="0">
      <text>
        <t>Loan: Daimler, AMORTIZING. Source: Loan 51 - data/loans.md</t>
      </text>
    </comment>
    <comment ref="F62" authorId="0" shapeId="0">
      <text>
        <t>Loan: Daimler, AMORTIZING. Source: Loan 51 - data/loans.md</t>
      </text>
    </comment>
    <comment ref="C63" authorId="0" shapeId="0">
      <text>
        <t>Loan: Daimler, AMORTIZING. Source: Loan 51 - data/loans.md</t>
      </text>
    </comment>
    <comment ref="D63" authorId="0" shapeId="0">
      <text>
        <t>Loan: Daimler, AMORTIZING. Source: Loan 51 - data/loans.md</t>
      </text>
    </comment>
    <comment ref="E63" authorId="0" shapeId="0">
      <text>
        <t>Loan: Daimler, AMORTIZING. Source: Loan 51 - data/loans.md</t>
      </text>
    </comment>
    <comment ref="F63" authorId="0" shapeId="0">
      <text>
        <t>Loan: Daimler, AMORTIZING. Source: Loan 51 - data/loans.md</t>
      </text>
    </comment>
    <comment ref="C64" authorId="0" shapeId="0">
      <text>
        <t>Loan: Daimler, AMORTIZING. Source: Loan 51 - data/loans.md</t>
      </text>
    </comment>
    <comment ref="D64" authorId="0" shapeId="0">
      <text>
        <t>Loan: Daimler, AMORTIZING. Source: Loan 51 - data/loans.md</t>
      </text>
    </comment>
    <comment ref="E64" authorId="0" shapeId="0">
      <text>
        <t>Loan: Daimler, AMORTIZING. Source: Loan 51 - data/loans.md</t>
      </text>
    </comment>
    <comment ref="F64" authorId="0" shapeId="0">
      <text>
        <t>Loan: Daimler, AMORTIZING. Source: Loan 51 - data/loans.md</t>
      </text>
    </comment>
    <comment ref="C65" authorId="0" shapeId="0">
      <text>
        <t>Loan: Daimler, AMORTIZING. Source: Loan 51 - data/loans.md</t>
      </text>
    </comment>
    <comment ref="D65" authorId="0" shapeId="0">
      <text>
        <t>Loan: Daimler, AMORTIZING. Source: Loan 51 - data/loans.md</t>
      </text>
    </comment>
    <comment ref="E65" authorId="0" shapeId="0">
      <text>
        <t>Loan: Daimler, AMORTIZING. Source: Loan 51 - data/loans.md</t>
      </text>
    </comment>
    <comment ref="F65" authorId="0" shapeId="0">
      <text>
        <t>Loan: Daimler, AMORTIZING. Source: Loan 51 - data/loans.md</t>
      </text>
    </comment>
    <comment ref="B70" authorId="0" shapeId="0">
      <text>
        <t>Sum of rows 21-32: Opening balance for 2026</t>
      </text>
    </comment>
    <comment ref="C70" authorId="0" shapeId="0">
      <text>
        <t>Sum of rows 21-32: Total interest for 2026</t>
      </text>
    </comment>
    <comment ref="D70" authorId="0" shapeId="0">
      <text>
        <t>Sum of rows 21-32: Total principal for 2026</t>
      </text>
    </comment>
    <comment ref="E70" authorId="0" shapeId="0">
      <text>
        <t>Sum of rows 21-32: Closing balance for 2026</t>
      </text>
    </comment>
    <comment ref="B71" authorId="0" shapeId="0">
      <text>
        <t>Sum of rows 33-44: Opening balance for 2027</t>
      </text>
    </comment>
    <comment ref="C71" authorId="0" shapeId="0">
      <text>
        <t>Sum of rows 33-44: Total interest for 2027</t>
      </text>
    </comment>
    <comment ref="D71" authorId="0" shapeId="0">
      <text>
        <t>Sum of rows 33-44: Total principal for 2027</t>
      </text>
    </comment>
    <comment ref="E71" authorId="0" shapeId="0">
      <text>
        <t>Sum of rows 33-44: Closing balance for 2027</t>
      </text>
    </comment>
    <comment ref="B72" authorId="0" shapeId="0">
      <text>
        <t>Sum of rows 45-56: Opening balance for 2028</t>
      </text>
    </comment>
    <comment ref="C72" authorId="0" shapeId="0">
      <text>
        <t>Sum of rows 45-56: Total interest for 2028</t>
      </text>
    </comment>
    <comment ref="D72" authorId="0" shapeId="0">
      <text>
        <t>Sum of rows 45-56: Total principal for 2028</t>
      </text>
    </comment>
    <comment ref="E72" authorId="0" shapeId="0">
      <text>
        <t>Sum of rows 45-56: Closing balance for 2028</t>
      </text>
    </comment>
    <comment ref="B75" authorId="0" shapeId="0">
      <text>
        <t>Reference cell for Debt Schedule linking. Links to: B10.</t>
      </text>
    </comment>
  </commentList>
</comments>
</file>

<file path=xl/comments/comment38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 52 - data/loans.md</t>
      </text>
    </comment>
    <comment ref="B9" authorId="0" shapeId="0">
      <text>
        <t>Source: Loan 52 - data/loans.md
Original loan amount at origination.</t>
      </text>
    </comment>
    <comment ref="B10" authorId="0" shapeId="0">
      <text>
        <t>Source: Loan 52 - data/loans.md
Balance as of 12/31/2025.</t>
      </text>
    </comment>
    <comment ref="B11" authorId="0" shapeId="0">
      <text>
        <t>Source: Loan 52 - data/loans.md
Annual interest rate.</t>
      </text>
    </comment>
    <comment ref="B12" authorId="0" shapeId="0">
      <text>
        <t>Source: Loan 52 - data/loans.md
Fixed monthly payment amount.</t>
      </text>
    </comment>
    <comment ref="C21" authorId="0" shapeId="0">
      <text>
        <t>Loan: JX Financial, AMORTIZING. Source: Loan 52 - data/loans.md</t>
      </text>
    </comment>
    <comment ref="D21" authorId="0" shapeId="0">
      <text>
        <t>Loan: JX Financial, AMORTIZING. Source: Loan 52 - data/loans.md</t>
      </text>
    </comment>
    <comment ref="E21" authorId="0" shapeId="0">
      <text>
        <t>Loan: JX Financial, AMORTIZING. Source: Loan 52 - data/loans.md</t>
      </text>
    </comment>
    <comment ref="F21" authorId="0" shapeId="0">
      <text>
        <t>Loan: JX Financial, AMORTIZING. Source: Loan 52 - data/loans.md</t>
      </text>
    </comment>
    <comment ref="C22" authorId="0" shapeId="0">
      <text>
        <t>Loan: JX Financial, AMORTIZING. Source: Loan 52 - data/loans.md</t>
      </text>
    </comment>
    <comment ref="D22" authorId="0" shapeId="0">
      <text>
        <t>Loan: JX Financial, AMORTIZING. Source: Loan 52 - data/loans.md</t>
      </text>
    </comment>
    <comment ref="E22" authorId="0" shapeId="0">
      <text>
        <t>Loan: JX Financial, AMORTIZING. Source: Loan 52 - data/loans.md</t>
      </text>
    </comment>
    <comment ref="F22" authorId="0" shapeId="0">
      <text>
        <t>Loan: JX Financial, AMORTIZING. Source: Loan 52 - data/loans.md</t>
      </text>
    </comment>
    <comment ref="C23" authorId="0" shapeId="0">
      <text>
        <t>Loan: JX Financial, AMORTIZING. Source: Loan 52 - data/loans.md</t>
      </text>
    </comment>
    <comment ref="D23" authorId="0" shapeId="0">
      <text>
        <t>Loan: JX Financial, AMORTIZING. Source: Loan 52 - data/loans.md</t>
      </text>
    </comment>
    <comment ref="E23" authorId="0" shapeId="0">
      <text>
        <t>Loan: JX Financial, AMORTIZING. Source: Loan 52 - data/loans.md</t>
      </text>
    </comment>
    <comment ref="F23" authorId="0" shapeId="0">
      <text>
        <t>Loan: JX Financial, AMORTIZING. Source: Loan 52 - data/loans.md</t>
      </text>
    </comment>
    <comment ref="C24" authorId="0" shapeId="0">
      <text>
        <t>Loan: JX Financial, AMORTIZING. Source: Loan 52 - data/loans.md</t>
      </text>
    </comment>
    <comment ref="D24" authorId="0" shapeId="0">
      <text>
        <t>Loan: JX Financial, AMORTIZING. Source: Loan 52 - data/loans.md</t>
      </text>
    </comment>
    <comment ref="E24" authorId="0" shapeId="0">
      <text>
        <t>Loan: JX Financial, AMORTIZING. Source: Loan 52 - data/loans.md</t>
      </text>
    </comment>
    <comment ref="F24" authorId="0" shapeId="0">
      <text>
        <t>Loan: JX Financial, AMORTIZING. Source: Loan 52 - data/loans.md</t>
      </text>
    </comment>
    <comment ref="C25" authorId="0" shapeId="0">
      <text>
        <t>Loan: JX Financial, AMORTIZING. Source: Loan 52 - data/loans.md</t>
      </text>
    </comment>
    <comment ref="D25" authorId="0" shapeId="0">
      <text>
        <t>Loan: JX Financial, AMORTIZING. Source: Loan 52 - data/loans.md</t>
      </text>
    </comment>
    <comment ref="E25" authorId="0" shapeId="0">
      <text>
        <t>Loan: JX Financial, AMORTIZING. Source: Loan 52 - data/loans.md</t>
      </text>
    </comment>
    <comment ref="F25" authorId="0" shapeId="0">
      <text>
        <t>Loan: JX Financial, AMORTIZING. Source: Loan 52 - data/loans.md</t>
      </text>
    </comment>
    <comment ref="C26" authorId="0" shapeId="0">
      <text>
        <t>Loan: JX Financial, AMORTIZING. Source: Loan 52 - data/loans.md</t>
      </text>
    </comment>
    <comment ref="D26" authorId="0" shapeId="0">
      <text>
        <t>Loan: JX Financial, AMORTIZING. Source: Loan 52 - data/loans.md</t>
      </text>
    </comment>
    <comment ref="E26" authorId="0" shapeId="0">
      <text>
        <t>Loan: JX Financial, AMORTIZING. Source: Loan 52 - data/loans.md</t>
      </text>
    </comment>
    <comment ref="F26" authorId="0" shapeId="0">
      <text>
        <t>Loan: JX Financial, AMORTIZING. Source: Loan 52 - data/loans.md</t>
      </text>
    </comment>
    <comment ref="C27" authorId="0" shapeId="0">
      <text>
        <t>Loan: JX Financial, AMORTIZING. Source: Loan 52 - data/loans.md</t>
      </text>
    </comment>
    <comment ref="D27" authorId="0" shapeId="0">
      <text>
        <t>Loan: JX Financial, AMORTIZING. Source: Loan 52 - data/loans.md</t>
      </text>
    </comment>
    <comment ref="E27" authorId="0" shapeId="0">
      <text>
        <t>Loan: JX Financial, AMORTIZING. Source: Loan 52 - data/loans.md</t>
      </text>
    </comment>
    <comment ref="F27" authorId="0" shapeId="0">
      <text>
        <t>Loan: JX Financial, AMORTIZING. Source: Loan 52 - data/loans.md</t>
      </text>
    </comment>
    <comment ref="C28" authorId="0" shapeId="0">
      <text>
        <t>Loan: JX Financial, AMORTIZING. Source: Loan 52 - data/loans.md</t>
      </text>
    </comment>
    <comment ref="D28" authorId="0" shapeId="0">
      <text>
        <t>Loan: JX Financial, AMORTIZING. Source: Loan 52 - data/loans.md</t>
      </text>
    </comment>
    <comment ref="E28" authorId="0" shapeId="0">
      <text>
        <t>Loan: JX Financial, AMORTIZING. Source: Loan 52 - data/loans.md</t>
      </text>
    </comment>
    <comment ref="F28" authorId="0" shapeId="0">
      <text>
        <t>Loan: JX Financial, AMORTIZING. Source: Loan 52 - data/loans.md</t>
      </text>
    </comment>
    <comment ref="C29" authorId="0" shapeId="0">
      <text>
        <t>Loan: JX Financial, AMORTIZING. Source: Loan 52 - data/loans.md</t>
      </text>
    </comment>
    <comment ref="D29" authorId="0" shapeId="0">
      <text>
        <t>Loan: JX Financial, AMORTIZING. Source: Loan 52 - data/loans.md</t>
      </text>
    </comment>
    <comment ref="E29" authorId="0" shapeId="0">
      <text>
        <t>Loan: JX Financial, AMORTIZING. Source: Loan 52 - data/loans.md</t>
      </text>
    </comment>
    <comment ref="F29" authorId="0" shapeId="0">
      <text>
        <t>Loan: JX Financial, AMORTIZING. Source: Loan 52 - data/loans.md</t>
      </text>
    </comment>
    <comment ref="C30" authorId="0" shapeId="0">
      <text>
        <t>Loan: JX Financial, AMORTIZING. Source: Loan 52 - data/loans.md</t>
      </text>
    </comment>
    <comment ref="D30" authorId="0" shapeId="0">
      <text>
        <t>Loan: JX Financial, AMORTIZING. Source: Loan 52 - data/loans.md</t>
      </text>
    </comment>
    <comment ref="E30" authorId="0" shapeId="0">
      <text>
        <t>Loan: JX Financial, AMORTIZING. Source: Loan 52 - data/loans.md</t>
      </text>
    </comment>
    <comment ref="F30" authorId="0" shapeId="0">
      <text>
        <t>Loan: JX Financial, AMORTIZING. Source: Loan 52 - data/loans.md</t>
      </text>
    </comment>
    <comment ref="C31" authorId="0" shapeId="0">
      <text>
        <t>Loan: JX Financial, AMORTIZING. Source: Loan 52 - data/loans.md</t>
      </text>
    </comment>
    <comment ref="D31" authorId="0" shapeId="0">
      <text>
        <t>Loan: JX Financial, AMORTIZING. Source: Loan 52 - data/loans.md</t>
      </text>
    </comment>
    <comment ref="E31" authorId="0" shapeId="0">
      <text>
        <t>Loan: JX Financial, AMORTIZING. Source: Loan 52 - data/loans.md</t>
      </text>
    </comment>
    <comment ref="F31" authorId="0" shapeId="0">
      <text>
        <t>Loan: JX Financial, AMORTIZING. Source: Loan 52 - data/loans.md</t>
      </text>
    </comment>
    <comment ref="C32" authorId="0" shapeId="0">
      <text>
        <t>Loan: JX Financial, AMORTIZING. Source: Loan 52 - data/loans.md</t>
      </text>
    </comment>
    <comment ref="D32" authorId="0" shapeId="0">
      <text>
        <t>Loan: JX Financial, AMORTIZING. Source: Loan 52 - data/loans.md</t>
      </text>
    </comment>
    <comment ref="E32" authorId="0" shapeId="0">
      <text>
        <t>Loan: JX Financial, AMORTIZING. Source: Loan 52 - data/loans.md</t>
      </text>
    </comment>
    <comment ref="F32" authorId="0" shapeId="0">
      <text>
        <t>Loan: JX Financial, AMORTIZING. Source: Loan 52 - data/loans.md</t>
      </text>
    </comment>
    <comment ref="C33" authorId="0" shapeId="0">
      <text>
        <t>Loan: JX Financial, AMORTIZING. Source: Loan 52 - data/loans.md</t>
      </text>
    </comment>
    <comment ref="D33" authorId="0" shapeId="0">
      <text>
        <t>Loan: JX Financial, AMORTIZING. Source: Loan 52 - data/loans.md</t>
      </text>
    </comment>
    <comment ref="E33" authorId="0" shapeId="0">
      <text>
        <t>Loan: JX Financial, AMORTIZING. Source: Loan 52 - data/loans.md</t>
      </text>
    </comment>
    <comment ref="F33" authorId="0" shapeId="0">
      <text>
        <t>Loan: JX Financial, AMORTIZING. Source: Loan 52 - data/loans.md</t>
      </text>
    </comment>
    <comment ref="C34" authorId="0" shapeId="0">
      <text>
        <t>Loan: JX Financial, AMORTIZING. Source: Loan 52 - data/loans.md</t>
      </text>
    </comment>
    <comment ref="D34" authorId="0" shapeId="0">
      <text>
        <t>Loan: JX Financial, AMORTIZING. Source: Loan 52 - data/loans.md</t>
      </text>
    </comment>
    <comment ref="E34" authorId="0" shapeId="0">
      <text>
        <t>Loan: JX Financial, AMORTIZING. Source: Loan 52 - data/loans.md</t>
      </text>
    </comment>
    <comment ref="F34" authorId="0" shapeId="0">
      <text>
        <t>Loan: JX Financial, AMORTIZING. Source: Loan 52 - data/loans.md</t>
      </text>
    </comment>
    <comment ref="C35" authorId="0" shapeId="0">
      <text>
        <t>Loan: JX Financial, AMORTIZING. Source: Loan 52 - data/loans.md</t>
      </text>
    </comment>
    <comment ref="D35" authorId="0" shapeId="0">
      <text>
        <t>Loan: JX Financial, AMORTIZING. Source: Loan 52 - data/loans.md</t>
      </text>
    </comment>
    <comment ref="E35" authorId="0" shapeId="0">
      <text>
        <t>Loan: JX Financial, AMORTIZING. Source: Loan 52 - data/loans.md</t>
      </text>
    </comment>
    <comment ref="F35" authorId="0" shapeId="0">
      <text>
        <t>Loan: JX Financial, AMORTIZING. Source: Loan 52 - data/loans.md</t>
      </text>
    </comment>
    <comment ref="C36" authorId="0" shapeId="0">
      <text>
        <t>Loan: JX Financial, AMORTIZING. Source: Loan 52 - data/loans.md</t>
      </text>
    </comment>
    <comment ref="D36" authorId="0" shapeId="0">
      <text>
        <t>Loan: JX Financial, AMORTIZING. Source: Loan 52 - data/loans.md</t>
      </text>
    </comment>
    <comment ref="E36" authorId="0" shapeId="0">
      <text>
        <t>Loan: JX Financial, AMORTIZING. Source: Loan 52 - data/loans.md</t>
      </text>
    </comment>
    <comment ref="F36" authorId="0" shapeId="0">
      <text>
        <t>Loan: JX Financial, AMORTIZING. Source: Loan 52 - data/loans.md</t>
      </text>
    </comment>
    <comment ref="C37" authorId="0" shapeId="0">
      <text>
        <t>Loan: JX Financial, AMORTIZING. Source: Loan 52 - data/loans.md</t>
      </text>
    </comment>
    <comment ref="D37" authorId="0" shapeId="0">
      <text>
        <t>Loan: JX Financial, AMORTIZING. Source: Loan 52 - data/loans.md</t>
      </text>
    </comment>
    <comment ref="E37" authorId="0" shapeId="0">
      <text>
        <t>Loan: JX Financial, AMORTIZING. Source: Loan 52 - data/loans.md</t>
      </text>
    </comment>
    <comment ref="F37" authorId="0" shapeId="0">
      <text>
        <t>Loan: JX Financial, AMORTIZING. Source: Loan 52 - data/loans.md</t>
      </text>
    </comment>
    <comment ref="C38" authorId="0" shapeId="0">
      <text>
        <t>Loan: JX Financial, AMORTIZING. Source: Loan 52 - data/loans.md</t>
      </text>
    </comment>
    <comment ref="D38" authorId="0" shapeId="0">
      <text>
        <t>Loan: JX Financial, AMORTIZING. Source: Loan 52 - data/loans.md</t>
      </text>
    </comment>
    <comment ref="E38" authorId="0" shapeId="0">
      <text>
        <t>Loan: JX Financial, AMORTIZING. Source: Loan 52 - data/loans.md</t>
      </text>
    </comment>
    <comment ref="F38" authorId="0" shapeId="0">
      <text>
        <t>Loan: JX Financial, AMORTIZING. Source: Loan 52 - data/loans.md</t>
      </text>
    </comment>
    <comment ref="C39" authorId="0" shapeId="0">
      <text>
        <t>Loan: JX Financial, AMORTIZING. Source: Loan 52 - data/loans.md</t>
      </text>
    </comment>
    <comment ref="D39" authorId="0" shapeId="0">
      <text>
        <t>Loan: JX Financial, AMORTIZING. Source: Loan 52 - data/loans.md</t>
      </text>
    </comment>
    <comment ref="E39" authorId="0" shapeId="0">
      <text>
        <t>Loan: JX Financial, AMORTIZING. Source: Loan 52 - data/loans.md</t>
      </text>
    </comment>
    <comment ref="F39" authorId="0" shapeId="0">
      <text>
        <t>Loan: JX Financial, AMORTIZING. Source: Loan 52 - data/loans.md</t>
      </text>
    </comment>
    <comment ref="C40" authorId="0" shapeId="0">
      <text>
        <t>Loan: JX Financial, AMORTIZING. Source: Loan 52 - data/loans.md</t>
      </text>
    </comment>
    <comment ref="D40" authorId="0" shapeId="0">
      <text>
        <t>Loan: JX Financial, AMORTIZING. Source: Loan 52 - data/loans.md</t>
      </text>
    </comment>
    <comment ref="E40" authorId="0" shapeId="0">
      <text>
        <t>Loan: JX Financial, AMORTIZING. Source: Loan 52 - data/loans.md</t>
      </text>
    </comment>
    <comment ref="F40" authorId="0" shapeId="0">
      <text>
        <t>Loan: JX Financial, AMORTIZING. Source: Loan 52 - data/loans.md</t>
      </text>
    </comment>
    <comment ref="C41" authorId="0" shapeId="0">
      <text>
        <t>Loan: JX Financial, AMORTIZING. Source: Loan 52 - data/loans.md</t>
      </text>
    </comment>
    <comment ref="D41" authorId="0" shapeId="0">
      <text>
        <t>Loan: JX Financial, AMORTIZING. Source: Loan 52 - data/loans.md</t>
      </text>
    </comment>
    <comment ref="E41" authorId="0" shapeId="0">
      <text>
        <t>Loan: JX Financial, AMORTIZING. Source: Loan 52 - data/loans.md</t>
      </text>
    </comment>
    <comment ref="F41" authorId="0" shapeId="0">
      <text>
        <t>Loan: JX Financial, AMORTIZING. Source: Loan 52 - data/loans.md</t>
      </text>
    </comment>
    <comment ref="C42" authorId="0" shapeId="0">
      <text>
        <t>Loan: JX Financial, AMORTIZING. Source: Loan 52 - data/loans.md</t>
      </text>
    </comment>
    <comment ref="D42" authorId="0" shapeId="0">
      <text>
        <t>Loan: JX Financial, AMORTIZING. Source: Loan 52 - data/loans.md</t>
      </text>
    </comment>
    <comment ref="E42" authorId="0" shapeId="0">
      <text>
        <t>Loan: JX Financial, AMORTIZING. Source: Loan 52 - data/loans.md</t>
      </text>
    </comment>
    <comment ref="F42" authorId="0" shapeId="0">
      <text>
        <t>Loan: JX Financial, AMORTIZING. Source: Loan 52 - data/loans.md</t>
      </text>
    </comment>
    <comment ref="C43" authorId="0" shapeId="0">
      <text>
        <t>Loan: JX Financial, AMORTIZING. Source: Loan 52 - data/loans.md</t>
      </text>
    </comment>
    <comment ref="D43" authorId="0" shapeId="0">
      <text>
        <t>Loan: JX Financial, AMORTIZING. Source: Loan 52 - data/loans.md</t>
      </text>
    </comment>
    <comment ref="E43" authorId="0" shapeId="0">
      <text>
        <t>Loan: JX Financial, AMORTIZING. Source: Loan 52 - data/loans.md</t>
      </text>
    </comment>
    <comment ref="F43" authorId="0" shapeId="0">
      <text>
        <t>Loan: JX Financial, AMORTIZING. Source: Loan 52 - data/loans.md</t>
      </text>
    </comment>
    <comment ref="C44" authorId="0" shapeId="0">
      <text>
        <t>Loan: JX Financial, AMORTIZING. Source: Loan 52 - data/loans.md</t>
      </text>
    </comment>
    <comment ref="D44" authorId="0" shapeId="0">
      <text>
        <t>Loan: JX Financial, AMORTIZING. Source: Loan 52 - data/loans.md</t>
      </text>
    </comment>
    <comment ref="E44" authorId="0" shapeId="0">
      <text>
        <t>Loan: JX Financial, AMORTIZING. Source: Loan 52 - data/loans.md</t>
      </text>
    </comment>
    <comment ref="F44" authorId="0" shapeId="0">
      <text>
        <t>Loan: JX Financial, AMORTIZING. Source: Loan 52 - data/loans.md</t>
      </text>
    </comment>
    <comment ref="C45" authorId="0" shapeId="0">
      <text>
        <t>Loan: JX Financial, AMORTIZING. Source: Loan 52 - data/loans.md</t>
      </text>
    </comment>
    <comment ref="D45" authorId="0" shapeId="0">
      <text>
        <t>Loan: JX Financial, AMORTIZING. Source: Loan 52 - data/loans.md</t>
      </text>
    </comment>
    <comment ref="E45" authorId="0" shapeId="0">
      <text>
        <t>Loan: JX Financial, AMORTIZING. Source: Loan 52 - data/loans.md</t>
      </text>
    </comment>
    <comment ref="F45" authorId="0" shapeId="0">
      <text>
        <t>Loan: JX Financial, AMORTIZING. Source: Loan 52 - data/loans.md</t>
      </text>
    </comment>
    <comment ref="C46" authorId="0" shapeId="0">
      <text>
        <t>Loan: JX Financial, AMORTIZING. Source: Loan 52 - data/loans.md</t>
      </text>
    </comment>
    <comment ref="D46" authorId="0" shapeId="0">
      <text>
        <t>Loan: JX Financial, AMORTIZING. Source: Loan 52 - data/loans.md</t>
      </text>
    </comment>
    <comment ref="E46" authorId="0" shapeId="0">
      <text>
        <t>Loan: JX Financial, AMORTIZING. Source: Loan 52 - data/loans.md</t>
      </text>
    </comment>
    <comment ref="F46" authorId="0" shapeId="0">
      <text>
        <t>Loan: JX Financial, AMORTIZING. Source: Loan 52 - data/loans.md</t>
      </text>
    </comment>
    <comment ref="C47" authorId="0" shapeId="0">
      <text>
        <t>Loan: JX Financial, AMORTIZING. Source: Loan 52 - data/loans.md</t>
      </text>
    </comment>
    <comment ref="D47" authorId="0" shapeId="0">
      <text>
        <t>Loan: JX Financial, AMORTIZING. Source: Loan 52 - data/loans.md</t>
      </text>
    </comment>
    <comment ref="E47" authorId="0" shapeId="0">
      <text>
        <t>Loan: JX Financial, AMORTIZING. Source: Loan 52 - data/loans.md</t>
      </text>
    </comment>
    <comment ref="F47" authorId="0" shapeId="0">
      <text>
        <t>Loan: JX Financial, AMORTIZING. Source: Loan 52 - data/loans.md</t>
      </text>
    </comment>
    <comment ref="C48" authorId="0" shapeId="0">
      <text>
        <t>Loan: JX Financial, AMORTIZING. Source: Loan 52 - data/loans.md</t>
      </text>
    </comment>
    <comment ref="D48" authorId="0" shapeId="0">
      <text>
        <t>Loan: JX Financial, AMORTIZING. Source: Loan 52 - data/loans.md</t>
      </text>
    </comment>
    <comment ref="E48" authorId="0" shapeId="0">
      <text>
        <t>Loan: JX Financial, AMORTIZING. Source: Loan 52 - data/loans.md</t>
      </text>
    </comment>
    <comment ref="F48" authorId="0" shapeId="0">
      <text>
        <t>Loan: JX Financial, AMORTIZING. Source: Loan 52 - data/loans.md</t>
      </text>
    </comment>
    <comment ref="C49" authorId="0" shapeId="0">
      <text>
        <t>Loan: JX Financial, AMORTIZING. Source: Loan 52 - data/loans.md</t>
      </text>
    </comment>
    <comment ref="D49" authorId="0" shapeId="0">
      <text>
        <t>Loan: JX Financial, AMORTIZING. Source: Loan 52 - data/loans.md</t>
      </text>
    </comment>
    <comment ref="E49" authorId="0" shapeId="0">
      <text>
        <t>Loan: JX Financial, AMORTIZING. Source: Loan 52 - data/loans.md</t>
      </text>
    </comment>
    <comment ref="F49" authorId="0" shapeId="0">
      <text>
        <t>Loan: JX Financial, AMORTIZING. Source: Loan 52 - data/loans.md</t>
      </text>
    </comment>
    <comment ref="C50" authorId="0" shapeId="0">
      <text>
        <t>Loan: JX Financial, AMORTIZING. Source: Loan 52 - data/loans.md</t>
      </text>
    </comment>
    <comment ref="D50" authorId="0" shapeId="0">
      <text>
        <t>Loan: JX Financial, AMORTIZING. Source: Loan 52 - data/loans.md</t>
      </text>
    </comment>
    <comment ref="E50" authorId="0" shapeId="0">
      <text>
        <t>Loan: JX Financial, AMORTIZING. Source: Loan 52 - data/loans.md</t>
      </text>
    </comment>
    <comment ref="F50" authorId="0" shapeId="0">
      <text>
        <t>Loan: JX Financial, AMORTIZING. Source: Loan 52 - data/loans.md</t>
      </text>
    </comment>
    <comment ref="C51" authorId="0" shapeId="0">
      <text>
        <t>Loan: JX Financial, AMORTIZING. Source: Loan 52 - data/loans.md</t>
      </text>
    </comment>
    <comment ref="D51" authorId="0" shapeId="0">
      <text>
        <t>Loan: JX Financial, AMORTIZING. Source: Loan 52 - data/loans.md</t>
      </text>
    </comment>
    <comment ref="E51" authorId="0" shapeId="0">
      <text>
        <t>Loan: JX Financial, AMORTIZING. Source: Loan 52 - data/loans.md</t>
      </text>
    </comment>
    <comment ref="F51" authorId="0" shapeId="0">
      <text>
        <t>Loan: JX Financial, AMORTIZING. Source: Loan 52 - data/loans.md</t>
      </text>
    </comment>
    <comment ref="C52" authorId="0" shapeId="0">
      <text>
        <t>Loan: JX Financial, AMORTIZING. Source: Loan 52 - data/loans.md</t>
      </text>
    </comment>
    <comment ref="D52" authorId="0" shapeId="0">
      <text>
        <t>Loan: JX Financial, AMORTIZING. Source: Loan 52 - data/loans.md</t>
      </text>
    </comment>
    <comment ref="E52" authorId="0" shapeId="0">
      <text>
        <t>Loan: JX Financial, AMORTIZING. Source: Loan 52 - data/loans.md</t>
      </text>
    </comment>
    <comment ref="F52" authorId="0" shapeId="0">
      <text>
        <t>Loan: JX Financial, AMORTIZING. Source: Loan 52 - data/loans.md</t>
      </text>
    </comment>
    <comment ref="C53" authorId="0" shapeId="0">
      <text>
        <t>Loan: JX Financial, AMORTIZING. Source: Loan 52 - data/loans.md</t>
      </text>
    </comment>
    <comment ref="D53" authorId="0" shapeId="0">
      <text>
        <t>Loan: JX Financial, AMORTIZING. Source: Loan 52 - data/loans.md</t>
      </text>
    </comment>
    <comment ref="E53" authorId="0" shapeId="0">
      <text>
        <t>Loan: JX Financial, AMORTIZING. Source: Loan 52 - data/loans.md</t>
      </text>
    </comment>
    <comment ref="F53" authorId="0" shapeId="0">
      <text>
        <t>Loan: JX Financial, AMORTIZING. Source: Loan 52 - data/loans.md</t>
      </text>
    </comment>
    <comment ref="C54" authorId="0" shapeId="0">
      <text>
        <t>Loan: JX Financial, AMORTIZING. Source: Loan 52 - data/loans.md</t>
      </text>
    </comment>
    <comment ref="D54" authorId="0" shapeId="0">
      <text>
        <t>Loan: JX Financial, AMORTIZING. Source: Loan 52 - data/loans.md</t>
      </text>
    </comment>
    <comment ref="E54" authorId="0" shapeId="0">
      <text>
        <t>Loan: JX Financial, AMORTIZING. Source: Loan 52 - data/loans.md</t>
      </text>
    </comment>
    <comment ref="F54" authorId="0" shapeId="0">
      <text>
        <t>Loan: JX Financial, AMORTIZING. Source: Loan 52 - data/loans.md</t>
      </text>
    </comment>
    <comment ref="C55" authorId="0" shapeId="0">
      <text>
        <t>Loan: JX Financial, AMORTIZING. Source: Loan 52 - data/loans.md</t>
      </text>
    </comment>
    <comment ref="D55" authorId="0" shapeId="0">
      <text>
        <t>Loan: JX Financial, AMORTIZING. Source: Loan 52 - data/loans.md</t>
      </text>
    </comment>
    <comment ref="E55" authorId="0" shapeId="0">
      <text>
        <t>Loan: JX Financial, AMORTIZING. Source: Loan 52 - data/loans.md</t>
      </text>
    </comment>
    <comment ref="F55" authorId="0" shapeId="0">
      <text>
        <t>Loan: JX Financial, AMORTIZING. Source: Loan 52 - data/loans.md</t>
      </text>
    </comment>
    <comment ref="C56" authorId="0" shapeId="0">
      <text>
        <t>Loan: JX Financial, AMORTIZING. Source: Loan 52 - data/loans.md</t>
      </text>
    </comment>
    <comment ref="D56" authorId="0" shapeId="0">
      <text>
        <t>Loan: JX Financial, AMORTIZING. Source: Loan 52 - data/loans.md</t>
      </text>
    </comment>
    <comment ref="E56" authorId="0" shapeId="0">
      <text>
        <t>Loan: JX Financial, AMORTIZING. Source: Loan 52 - data/loans.md</t>
      </text>
    </comment>
    <comment ref="F56" authorId="0" shapeId="0">
      <text>
        <t>Loan: JX Financial, AMORTIZING. Source: Loan 52 - data/loans.md</t>
      </text>
    </comment>
    <comment ref="C57" authorId="0" shapeId="0">
      <text>
        <t>Loan: JX Financial, AMORTIZING. Source: Loan 52 - data/loans.md</t>
      </text>
    </comment>
    <comment ref="D57" authorId="0" shapeId="0">
      <text>
        <t>Loan: JX Financial, AMORTIZING. Source: Loan 52 - data/loans.md</t>
      </text>
    </comment>
    <comment ref="E57" authorId="0" shapeId="0">
      <text>
        <t>Loan: JX Financial, AMORTIZING. Source: Loan 52 - data/loans.md</t>
      </text>
    </comment>
    <comment ref="F57" authorId="0" shapeId="0">
      <text>
        <t>Loan: JX Financial, AMORTIZING. Source: Loan 52 - data/loans.md</t>
      </text>
    </comment>
    <comment ref="C58" authorId="0" shapeId="0">
      <text>
        <t>Loan: JX Financial, AMORTIZING. Source: Loan 52 - data/loans.md</t>
      </text>
    </comment>
    <comment ref="D58" authorId="0" shapeId="0">
      <text>
        <t>Loan: JX Financial, AMORTIZING. Source: Loan 52 - data/loans.md</t>
      </text>
    </comment>
    <comment ref="E58" authorId="0" shapeId="0">
      <text>
        <t>Loan: JX Financial, AMORTIZING. Source: Loan 52 - data/loans.md</t>
      </text>
    </comment>
    <comment ref="F58" authorId="0" shapeId="0">
      <text>
        <t>Loan: JX Financial, AMORTIZING. Source: Loan 52 - data/loans.md</t>
      </text>
    </comment>
    <comment ref="C59" authorId="0" shapeId="0">
      <text>
        <t>Loan: JX Financial, AMORTIZING. Source: Loan 52 - data/loans.md</t>
      </text>
    </comment>
    <comment ref="D59" authorId="0" shapeId="0">
      <text>
        <t>Loan: JX Financial, AMORTIZING. Source: Loan 52 - data/loans.md</t>
      </text>
    </comment>
    <comment ref="E59" authorId="0" shapeId="0">
      <text>
        <t>Loan: JX Financial, AMORTIZING. Source: Loan 52 - data/loans.md</t>
      </text>
    </comment>
    <comment ref="F59" authorId="0" shapeId="0">
      <text>
        <t>Loan: JX Financial, AMORTIZING. Source: Loan 52 - data/loans.md</t>
      </text>
    </comment>
    <comment ref="C60" authorId="0" shapeId="0">
      <text>
        <t>Loan: JX Financial, AMORTIZING. Source: Loan 52 - data/loans.md</t>
      </text>
    </comment>
    <comment ref="D60" authorId="0" shapeId="0">
      <text>
        <t>Loan: JX Financial, AMORTIZING. Source: Loan 52 - data/loans.md</t>
      </text>
    </comment>
    <comment ref="E60" authorId="0" shapeId="0">
      <text>
        <t>Loan: JX Financial, AMORTIZING. Source: Loan 52 - data/loans.md</t>
      </text>
    </comment>
    <comment ref="F60" authorId="0" shapeId="0">
      <text>
        <t>Loan: JX Financial, AMORTIZING. Source: Loan 52 - data/loans.md</t>
      </text>
    </comment>
    <comment ref="C61" authorId="0" shapeId="0">
      <text>
        <t>Loan: JX Financial, AMORTIZING. Source: Loan 52 - data/loans.md</t>
      </text>
    </comment>
    <comment ref="D61" authorId="0" shapeId="0">
      <text>
        <t>Loan: JX Financial, AMORTIZING. Source: Loan 52 - data/loans.md</t>
      </text>
    </comment>
    <comment ref="E61" authorId="0" shapeId="0">
      <text>
        <t>Loan: JX Financial, AMORTIZING. Source: Loan 52 - data/loans.md</t>
      </text>
    </comment>
    <comment ref="F61" authorId="0" shapeId="0">
      <text>
        <t>Loan: JX Financial, AMORTIZING. Source: Loan 52 - data/loans.md</t>
      </text>
    </comment>
    <comment ref="C62" authorId="0" shapeId="0">
      <text>
        <t>Loan: JX Financial, AMORTIZING. Source: Loan 52 - data/loans.md</t>
      </text>
    </comment>
    <comment ref="D62" authorId="0" shapeId="0">
      <text>
        <t>Loan: JX Financial, AMORTIZING. Source: Loan 52 - data/loans.md</t>
      </text>
    </comment>
    <comment ref="E62" authorId="0" shapeId="0">
      <text>
        <t>Loan: JX Financial, AMORTIZING. Source: Loan 52 - data/loans.md</t>
      </text>
    </comment>
    <comment ref="F62" authorId="0" shapeId="0">
      <text>
        <t>Loan: JX Financial, AMORTIZING. Source: Loan 52 - data/loans.md</t>
      </text>
    </comment>
    <comment ref="C63" authorId="0" shapeId="0">
      <text>
        <t>Loan: JX Financial, AMORTIZING. Source: Loan 52 - data/loans.md</t>
      </text>
    </comment>
    <comment ref="D63" authorId="0" shapeId="0">
      <text>
        <t>Loan: JX Financial, AMORTIZING. Source: Loan 52 - data/loans.md</t>
      </text>
    </comment>
    <comment ref="E63" authorId="0" shapeId="0">
      <text>
        <t>Loan: JX Financial, AMORTIZING. Source: Loan 52 - data/loans.md</t>
      </text>
    </comment>
    <comment ref="F63" authorId="0" shapeId="0">
      <text>
        <t>Loan: JX Financial, AMORTIZING. Source: Loan 52 - data/loans.md</t>
      </text>
    </comment>
    <comment ref="C64" authorId="0" shapeId="0">
      <text>
        <t>Loan: JX Financial, AMORTIZING. Source: Loan 52 - data/loans.md</t>
      </text>
    </comment>
    <comment ref="D64" authorId="0" shapeId="0">
      <text>
        <t>Loan: JX Financial, AMORTIZING. Source: Loan 52 - data/loans.md</t>
      </text>
    </comment>
    <comment ref="E64" authorId="0" shapeId="0">
      <text>
        <t>Loan: JX Financial, AMORTIZING. Source: Loan 52 - data/loans.md</t>
      </text>
    </comment>
    <comment ref="F64" authorId="0" shapeId="0">
      <text>
        <t>Loan: JX Financial, AMORTIZING. Source: Loan 52 - data/loans.md</t>
      </text>
    </comment>
    <comment ref="C65" authorId="0" shapeId="0">
      <text>
        <t>Loan: JX Financial, AMORTIZING. Source: Loan 52 - data/loans.md</t>
      </text>
    </comment>
    <comment ref="D65" authorId="0" shapeId="0">
      <text>
        <t>Loan: JX Financial, AMORTIZING. Source: Loan 52 - data/loans.md</t>
      </text>
    </comment>
    <comment ref="E65" authorId="0" shapeId="0">
      <text>
        <t>Loan: JX Financial, AMORTIZING. Source: Loan 52 - data/loans.md</t>
      </text>
    </comment>
    <comment ref="F65" authorId="0" shapeId="0">
      <text>
        <t>Loan: JX Financial, AMORTIZING. Source: Loan 52 - data/loans.md</t>
      </text>
    </comment>
    <comment ref="C66" authorId="0" shapeId="0">
      <text>
        <t>Loan: JX Financial, AMORTIZING. Source: Loan 52 - data/loans.md</t>
      </text>
    </comment>
    <comment ref="D66" authorId="0" shapeId="0">
      <text>
        <t>Loan: JX Financial, AMORTIZING. Source: Loan 52 - data/loans.md</t>
      </text>
    </comment>
    <comment ref="E66" authorId="0" shapeId="0">
      <text>
        <t>Loan: JX Financial, AMORTIZING. Source: Loan 52 - data/loans.md</t>
      </text>
    </comment>
    <comment ref="F66" authorId="0" shapeId="0">
      <text>
        <t>Loan: JX Financial, AMORTIZING. Source: Loan 52 - data/loans.md</t>
      </text>
    </comment>
    <comment ref="C67" authorId="0" shapeId="0">
      <text>
        <t>Loan: JX Financial, AMORTIZING. Source: Loan 52 - data/loans.md</t>
      </text>
    </comment>
    <comment ref="D67" authorId="0" shapeId="0">
      <text>
        <t>Loan: JX Financial, AMORTIZING. Source: Loan 52 - data/loans.md</t>
      </text>
    </comment>
    <comment ref="E67" authorId="0" shapeId="0">
      <text>
        <t>Loan: JX Financial, AMORTIZING. Source: Loan 52 - data/loans.md</t>
      </text>
    </comment>
    <comment ref="F67" authorId="0" shapeId="0">
      <text>
        <t>Loan: JX Financial, AMORTIZING. Source: Loan 52 - data/loans.md</t>
      </text>
    </comment>
    <comment ref="C68" authorId="0" shapeId="0">
      <text>
        <t>Loan: JX Financial, AMORTIZING. Source: Loan 52 - data/loans.md</t>
      </text>
    </comment>
    <comment ref="D68" authorId="0" shapeId="0">
      <text>
        <t>Loan: JX Financial, AMORTIZING. Source: Loan 52 - data/loans.md</t>
      </text>
    </comment>
    <comment ref="E68" authorId="0" shapeId="0">
      <text>
        <t>Loan: JX Financial, AMORTIZING. Source: Loan 52 - data/loans.md</t>
      </text>
    </comment>
    <comment ref="F68" authorId="0" shapeId="0">
      <text>
        <t>Loan: JX Financial, AMORTIZING. Source: Loan 52 - data/loans.md</t>
      </text>
    </comment>
    <comment ref="C69" authorId="0" shapeId="0">
      <text>
        <t>Loan: JX Financial, AMORTIZING. Source: Loan 52 - data/loans.md</t>
      </text>
    </comment>
    <comment ref="D69" authorId="0" shapeId="0">
      <text>
        <t>Loan: JX Financial, AMORTIZING. Source: Loan 52 - data/loans.md</t>
      </text>
    </comment>
    <comment ref="E69" authorId="0" shapeId="0">
      <text>
        <t>Loan: JX Financial, AMORTIZING. Source: Loan 52 - data/loans.md</t>
      </text>
    </comment>
    <comment ref="F69" authorId="0" shapeId="0">
      <text>
        <t>Loan: JX Financial, AMORTIZING. Source: Loan 52 - data/loans.md</t>
      </text>
    </comment>
    <comment ref="C70" authorId="0" shapeId="0">
      <text>
        <t>Loan: JX Financial, AMORTIZING. Source: Loan 52 - data/loans.md</t>
      </text>
    </comment>
    <comment ref="D70" authorId="0" shapeId="0">
      <text>
        <t>Loan: JX Financial, AMORTIZING. Source: Loan 52 - data/loans.md</t>
      </text>
    </comment>
    <comment ref="E70" authorId="0" shapeId="0">
      <text>
        <t>Loan: JX Financial, AMORTIZING. Source: Loan 52 - data/loans.md</t>
      </text>
    </comment>
    <comment ref="F70" authorId="0" shapeId="0">
      <text>
        <t>Loan: JX Financial, AMORTIZING. Source: Loan 52 - data/loans.md</t>
      </text>
    </comment>
    <comment ref="C71" authorId="0" shapeId="0">
      <text>
        <t>Loan: JX Financial, AMORTIZING. Source: Loan 52 - data/loans.md</t>
      </text>
    </comment>
    <comment ref="D71" authorId="0" shapeId="0">
      <text>
        <t>Loan: JX Financial, AMORTIZING. Source: Loan 52 - data/loans.md</t>
      </text>
    </comment>
    <comment ref="E71" authorId="0" shapeId="0">
      <text>
        <t>Loan: JX Financial, AMORTIZING. Source: Loan 52 - data/loans.md</t>
      </text>
    </comment>
    <comment ref="F71" authorId="0" shapeId="0">
      <text>
        <t>Loan: JX Financial, AMORTIZING. Source: Loan 52 - data/loans.md</t>
      </text>
    </comment>
    <comment ref="C72" authorId="0" shapeId="0">
      <text>
        <t>Loan: JX Financial, AMORTIZING. Source: Loan 52 - data/loans.md</t>
      </text>
    </comment>
    <comment ref="D72" authorId="0" shapeId="0">
      <text>
        <t>Loan: JX Financial, AMORTIZING. Source: Loan 52 - data/loans.md</t>
      </text>
    </comment>
    <comment ref="E72" authorId="0" shapeId="0">
      <text>
        <t>Loan: JX Financial, AMORTIZING. Source: Loan 52 - data/loans.md</t>
      </text>
    </comment>
    <comment ref="F72" authorId="0" shapeId="0">
      <text>
        <t>Loan: JX Financial, AMORTIZING. Source: Loan 52 - data/loans.md</t>
      </text>
    </comment>
    <comment ref="C73" authorId="0" shapeId="0">
      <text>
        <t>Loan: JX Financial, AMORTIZING. Source: Loan 52 - data/loans.md</t>
      </text>
    </comment>
    <comment ref="D73" authorId="0" shapeId="0">
      <text>
        <t>Loan: JX Financial, AMORTIZING. Source: Loan 52 - data/loans.md</t>
      </text>
    </comment>
    <comment ref="E73" authorId="0" shapeId="0">
      <text>
        <t>Loan: JX Financial, AMORTIZING. Source: Loan 52 - data/loans.md</t>
      </text>
    </comment>
    <comment ref="F73" authorId="0" shapeId="0">
      <text>
        <t>Loan: JX Financial, AMORTIZING. Source: Loan 52 - data/loans.md</t>
      </text>
    </comment>
    <comment ref="C74" authorId="0" shapeId="0">
      <text>
        <t>Loan: JX Financial, AMORTIZING. Source: Loan 52 - data/loans.md</t>
      </text>
    </comment>
    <comment ref="D74" authorId="0" shapeId="0">
      <text>
        <t>Loan: JX Financial, AMORTIZING. Source: Loan 52 - data/loans.md</t>
      </text>
    </comment>
    <comment ref="E74" authorId="0" shapeId="0">
      <text>
        <t>Loan: JX Financial, AMORTIZING. Source: Loan 52 - data/loans.md</t>
      </text>
    </comment>
    <comment ref="F74" authorId="0" shapeId="0">
      <text>
        <t>Loan: JX Financial, AMORTIZING. Source: Loan 52 - data/loans.md</t>
      </text>
    </comment>
    <comment ref="C75" authorId="0" shapeId="0">
      <text>
        <t>Loan: JX Financial, AMORTIZING. Source: Loan 52 - data/loans.md</t>
      </text>
    </comment>
    <comment ref="D75" authorId="0" shapeId="0">
      <text>
        <t>Loan: JX Financial, AMORTIZING. Source: Loan 52 - data/loans.md</t>
      </text>
    </comment>
    <comment ref="E75" authorId="0" shapeId="0">
      <text>
        <t>Loan: JX Financial, AMORTIZING. Source: Loan 52 - data/loans.md</t>
      </text>
    </comment>
    <comment ref="F75" authorId="0" shapeId="0">
      <text>
        <t>Loan: JX Financial, AMORTIZING. Source: Loan 52 - data/loans.md</t>
      </text>
    </comment>
    <comment ref="C76" authorId="0" shapeId="0">
      <text>
        <t>Loan: JX Financial, AMORTIZING. Source: Loan 52 - data/loans.md</t>
      </text>
    </comment>
    <comment ref="D76" authorId="0" shapeId="0">
      <text>
        <t>Loan: JX Financial, AMORTIZING. Source: Loan 52 - data/loans.md</t>
      </text>
    </comment>
    <comment ref="E76" authorId="0" shapeId="0">
      <text>
        <t>Loan: JX Financial, AMORTIZING. Source: Loan 52 - data/loans.md</t>
      </text>
    </comment>
    <comment ref="F76" authorId="0" shapeId="0">
      <text>
        <t>Loan: JX Financial, AMORTIZING. Source: Loan 52 - data/loans.md</t>
      </text>
    </comment>
    <comment ref="C77" authorId="0" shapeId="0">
      <text>
        <t>Loan: JX Financial, AMORTIZING. Source: Loan 52 - data/loans.md</t>
      </text>
    </comment>
    <comment ref="D77" authorId="0" shapeId="0">
      <text>
        <t>Loan: JX Financial, AMORTIZING. Source: Loan 52 - data/loans.md</t>
      </text>
    </comment>
    <comment ref="E77" authorId="0" shapeId="0">
      <text>
        <t>Loan: JX Financial, AMORTIZING. Source: Loan 52 - data/loans.md</t>
      </text>
    </comment>
    <comment ref="F77" authorId="0" shapeId="0">
      <text>
        <t>Loan: JX Financial, AMORTIZING. Source: Loan 52 - data/loans.md</t>
      </text>
    </comment>
    <comment ref="C78" authorId="0" shapeId="0">
      <text>
        <t>Loan: JX Financial, AMORTIZING. Source: Loan 52 - data/loans.md</t>
      </text>
    </comment>
    <comment ref="D78" authorId="0" shapeId="0">
      <text>
        <t>Loan: JX Financial, AMORTIZING. Source: Loan 52 - data/loans.md</t>
      </text>
    </comment>
    <comment ref="E78" authorId="0" shapeId="0">
      <text>
        <t>Loan: JX Financial, AMORTIZING. Source: Loan 52 - data/loans.md</t>
      </text>
    </comment>
    <comment ref="F78" authorId="0" shapeId="0">
      <text>
        <t>Loan: JX Financial, AMORTIZING. Source: Loan 52 - data/loans.md</t>
      </text>
    </comment>
    <comment ref="C79" authorId="0" shapeId="0">
      <text>
        <t>Loan: JX Financial, AMORTIZING. Source: Loan 52 - data/loans.md</t>
      </text>
    </comment>
    <comment ref="D79" authorId="0" shapeId="0">
      <text>
        <t>Loan: JX Financial, AMORTIZING. Source: Loan 52 - data/loans.md</t>
      </text>
    </comment>
    <comment ref="E79" authorId="0" shapeId="0">
      <text>
        <t>Loan: JX Financial, AMORTIZING. Source: Loan 52 - data/loans.md</t>
      </text>
    </comment>
    <comment ref="F79" authorId="0" shapeId="0">
      <text>
        <t>Loan: JX Financial, AMORTIZING. Source: Loan 52 - data/loans.md</t>
      </text>
    </comment>
    <comment ref="C80" authorId="0" shapeId="0">
      <text>
        <t>Loan: JX Financial, AMORTIZING. Source: Loan 52 - data/loans.md</t>
      </text>
    </comment>
    <comment ref="D80" authorId="0" shapeId="0">
      <text>
        <t>Loan: JX Financial, AMORTIZING. Source: Loan 52 - data/loans.md</t>
      </text>
    </comment>
    <comment ref="E80" authorId="0" shapeId="0">
      <text>
        <t>Loan: JX Financial, AMORTIZING. Source: Loan 52 - data/loans.md</t>
      </text>
    </comment>
    <comment ref="F80" authorId="0" shapeId="0">
      <text>
        <t>Loan: JX Financial, AMORTIZING. Source: Loan 52 - data/loans.md</t>
      </text>
    </comment>
    <comment ref="C81" authorId="0" shapeId="0">
      <text>
        <t>Loan: JX Financial, AMORTIZING. Source: Loan 52 - data/loans.md</t>
      </text>
    </comment>
    <comment ref="D81" authorId="0" shapeId="0">
      <text>
        <t>Loan: JX Financial, AMORTIZING. Source: Loan 52 - data/loans.md</t>
      </text>
    </comment>
    <comment ref="E81" authorId="0" shapeId="0">
      <text>
        <t>Loan: JX Financial, AMORTIZING. Source: Loan 52 - data/loans.md</t>
      </text>
    </comment>
    <comment ref="F81" authorId="0" shapeId="0">
      <text>
        <t>Loan: JX Financial, AMORTIZING. Source: Loan 52 - data/loans.md</t>
      </text>
    </comment>
    <comment ref="C82" authorId="0" shapeId="0">
      <text>
        <t>Loan: JX Financial, AMORTIZING. Source: Loan 52 - data/loans.md</t>
      </text>
    </comment>
    <comment ref="D82" authorId="0" shapeId="0">
      <text>
        <t>Loan: JX Financial, AMORTIZING. Source: Loan 52 - data/loans.md</t>
      </text>
    </comment>
    <comment ref="E82" authorId="0" shapeId="0">
      <text>
        <t>Loan: JX Financial, AMORTIZING. Source: Loan 52 - data/loans.md</t>
      </text>
    </comment>
    <comment ref="F82" authorId="0" shapeId="0">
      <text>
        <t>Loan: JX Financial, AMORTIZING. Source: Loan 52 - data/loans.md</t>
      </text>
    </comment>
    <comment ref="C83" authorId="0" shapeId="0">
      <text>
        <t>Loan: JX Financial, AMORTIZING. Source: Loan 52 - data/loans.md</t>
      </text>
    </comment>
    <comment ref="D83" authorId="0" shapeId="0">
      <text>
        <t>Loan: JX Financial, AMORTIZING. Source: Loan 52 - data/loans.md</t>
      </text>
    </comment>
    <comment ref="E83" authorId="0" shapeId="0">
      <text>
        <t>Loan: JX Financial, AMORTIZING. Source: Loan 52 - data/loans.md</t>
      </text>
    </comment>
    <comment ref="F83" authorId="0" shapeId="0">
      <text>
        <t>Loan: JX Financial, AMORTIZING. Source: Loan 52 - data/loans.md</t>
      </text>
    </comment>
    <comment ref="C84" authorId="0" shapeId="0">
      <text>
        <t>Loan: JX Financial, AMORTIZING. Source: Loan 52 - data/loans.md</t>
      </text>
    </comment>
    <comment ref="D84" authorId="0" shapeId="0">
      <text>
        <t>Loan: JX Financial, AMORTIZING. Source: Loan 52 - data/loans.md</t>
      </text>
    </comment>
    <comment ref="E84" authorId="0" shapeId="0">
      <text>
        <t>Loan: JX Financial, AMORTIZING. Source: Loan 52 - data/loans.md</t>
      </text>
    </comment>
    <comment ref="F84" authorId="0" shapeId="0">
      <text>
        <t>Loan: JX Financial, AMORTIZING. Source: Loan 52 - data/loans.md</t>
      </text>
    </comment>
    <comment ref="C85" authorId="0" shapeId="0">
      <text>
        <t>Loan: JX Financial, AMORTIZING. Source: Loan 52 - data/loans.md</t>
      </text>
    </comment>
    <comment ref="D85" authorId="0" shapeId="0">
      <text>
        <t>Loan: JX Financial, AMORTIZING. Source: Loan 52 - data/loans.md</t>
      </text>
    </comment>
    <comment ref="E85" authorId="0" shapeId="0">
      <text>
        <t>Loan: JX Financial, AMORTIZING. Source: Loan 52 - data/loans.md</t>
      </text>
    </comment>
    <comment ref="F85" authorId="0" shapeId="0">
      <text>
        <t>Loan: JX Financial, AMORTIZING. Source: Loan 52 - data/loans.md</t>
      </text>
    </comment>
    <comment ref="C86" authorId="0" shapeId="0">
      <text>
        <t>Loan: JX Financial, AMORTIZING. Source: Loan 52 - data/loans.md</t>
      </text>
    </comment>
    <comment ref="D86" authorId="0" shapeId="0">
      <text>
        <t>Loan: JX Financial, AMORTIZING. Source: Loan 52 - data/loans.md</t>
      </text>
    </comment>
    <comment ref="E86" authorId="0" shapeId="0">
      <text>
        <t>Loan: JX Financial, AMORTIZING. Source: Loan 52 - data/loans.md</t>
      </text>
    </comment>
    <comment ref="F86" authorId="0" shapeId="0">
      <text>
        <t>Loan: JX Financial, AMORTIZING. Source: Loan 52 - data/loans.md</t>
      </text>
    </comment>
    <comment ref="C87" authorId="0" shapeId="0">
      <text>
        <t>Loan: JX Financial, AMORTIZING. Source: Loan 52 - data/loans.md</t>
      </text>
    </comment>
    <comment ref="D87" authorId="0" shapeId="0">
      <text>
        <t>Loan: JX Financial, AMORTIZING. Source: Loan 52 - data/loans.md</t>
      </text>
    </comment>
    <comment ref="E87" authorId="0" shapeId="0">
      <text>
        <t>Loan: JX Financial, AMORTIZING. Source: Loan 52 - data/loans.md</t>
      </text>
    </comment>
    <comment ref="F87" authorId="0" shapeId="0">
      <text>
        <t>Loan: JX Financial, AMORTIZING. Source: Loan 52 - data/loans.md</t>
      </text>
    </comment>
    <comment ref="C88" authorId="0" shapeId="0">
      <text>
        <t>Loan: JX Financial, AMORTIZING. Source: Loan 52 - data/loans.md</t>
      </text>
    </comment>
    <comment ref="D88" authorId="0" shapeId="0">
      <text>
        <t>Loan: JX Financial, AMORTIZING. Source: Loan 52 - data/loans.md</t>
      </text>
    </comment>
    <comment ref="E88" authorId="0" shapeId="0">
      <text>
        <t>Loan: JX Financial, AMORTIZING. Source: Loan 52 - data/loans.md</t>
      </text>
    </comment>
    <comment ref="F88" authorId="0" shapeId="0">
      <text>
        <t>Loan: JX Financial, AMORTIZING. Source: Loan 52 - data/loans.md</t>
      </text>
    </comment>
    <comment ref="C89" authorId="0" shapeId="0">
      <text>
        <t>Loan: JX Financial, AMORTIZING. Source: Loan 52 - data/loans.md</t>
      </text>
    </comment>
    <comment ref="D89" authorId="0" shapeId="0">
      <text>
        <t>Loan: JX Financial, AMORTIZING. Source: Loan 52 - data/loans.md</t>
      </text>
    </comment>
    <comment ref="E89" authorId="0" shapeId="0">
      <text>
        <t>Loan: JX Financial, AMORTIZING. Source: Loan 52 - data/loans.md</t>
      </text>
    </comment>
    <comment ref="F89" authorId="0" shapeId="0">
      <text>
        <t>Loan: JX Financial, AMORTIZING. Source: Loan 52 - data/loans.md</t>
      </text>
    </comment>
    <comment ref="B94" authorId="0" shapeId="0">
      <text>
        <t>Sum of rows 21-32: Opening balance for 2026</t>
      </text>
    </comment>
    <comment ref="C94" authorId="0" shapeId="0">
      <text>
        <t>Sum of rows 21-32: Total interest for 2026</t>
      </text>
    </comment>
    <comment ref="D94" authorId="0" shapeId="0">
      <text>
        <t>Sum of rows 21-32: Total principal for 2026</t>
      </text>
    </comment>
    <comment ref="E94" authorId="0" shapeId="0">
      <text>
        <t>Sum of rows 21-32: Closing balance for 2026</t>
      </text>
    </comment>
    <comment ref="B95" authorId="0" shapeId="0">
      <text>
        <t>Sum of rows 33-44: Opening balance for 2027</t>
      </text>
    </comment>
    <comment ref="C95" authorId="0" shapeId="0">
      <text>
        <t>Sum of rows 33-44: Total interest for 2027</t>
      </text>
    </comment>
    <comment ref="D95" authorId="0" shapeId="0">
      <text>
        <t>Sum of rows 33-44: Total principal for 2027</t>
      </text>
    </comment>
    <comment ref="E95" authorId="0" shapeId="0">
      <text>
        <t>Sum of rows 33-44: Closing balance for 2027</t>
      </text>
    </comment>
    <comment ref="B96" authorId="0" shapeId="0">
      <text>
        <t>Sum of rows 45-56: Opening balance for 2028</t>
      </text>
    </comment>
    <comment ref="C96" authorId="0" shapeId="0">
      <text>
        <t>Sum of rows 45-56: Total interest for 2028</t>
      </text>
    </comment>
    <comment ref="D96" authorId="0" shapeId="0">
      <text>
        <t>Sum of rows 45-56: Total principal for 2028</t>
      </text>
    </comment>
    <comment ref="E96" authorId="0" shapeId="0">
      <text>
        <t>Sum of rows 45-56: Closing balance for 2028</t>
      </text>
    </comment>
    <comment ref="B99" authorId="0" shapeId="0">
      <text>
        <t>Reference cell for Debt Schedule linking. Links to: B10.</t>
      </text>
    </comment>
  </commentList>
</comments>
</file>

<file path=xl/comments/comment39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 56 - data/loans.md</t>
      </text>
    </comment>
    <comment ref="B9" authorId="0" shapeId="0">
      <text>
        <t>Source: Loan 56 - data/loans.md
Original loan amount at origination.</t>
      </text>
    </comment>
    <comment ref="B10" authorId="0" shapeId="0">
      <text>
        <t>Source: Loan 56 - data/loans.md
Balance as of 12/31/2025.</t>
      </text>
    </comment>
    <comment ref="B11" authorId="0" shapeId="0">
      <text>
        <t>Source: Loan 56 - data/loans.md
Annual interest rate.</t>
      </text>
    </comment>
    <comment ref="B12" authorId="0" shapeId="0">
      <text>
        <t>Source: Loan 56 - data/loans.md
Fixed monthly payment amount.</t>
      </text>
    </comment>
    <comment ref="C21" authorId="0" shapeId="0">
      <text>
        <t>Loan: FPG, AMORTIZING. Source: Loan 56 - data/loans.md</t>
      </text>
    </comment>
    <comment ref="D21" authorId="0" shapeId="0">
      <text>
        <t>Loan: FPG, AMORTIZING. Source: Loan 56 - data/loans.md</t>
      </text>
    </comment>
    <comment ref="E21" authorId="0" shapeId="0">
      <text>
        <t>Loan: FPG, AMORTIZING. Source: Loan 56 - data/loans.md</t>
      </text>
    </comment>
    <comment ref="F21" authorId="0" shapeId="0">
      <text>
        <t>Loan: FPG, AMORTIZING. Source: Loan 56 - data/loans.md</t>
      </text>
    </comment>
    <comment ref="C22" authorId="0" shapeId="0">
      <text>
        <t>Loan: FPG, AMORTIZING. Source: Loan 56 - data/loans.md</t>
      </text>
    </comment>
    <comment ref="D22" authorId="0" shapeId="0">
      <text>
        <t>Loan: FPG, AMORTIZING. Source: Loan 56 - data/loans.md</t>
      </text>
    </comment>
    <comment ref="E22" authorId="0" shapeId="0">
      <text>
        <t>Loan: FPG, AMORTIZING. Source: Loan 56 - data/loans.md</t>
      </text>
    </comment>
    <comment ref="F22" authorId="0" shapeId="0">
      <text>
        <t>Loan: FPG, AMORTIZING. Source: Loan 56 - data/loans.md</t>
      </text>
    </comment>
    <comment ref="C23" authorId="0" shapeId="0">
      <text>
        <t>Loan: FPG, AMORTIZING. Source: Loan 56 - data/loans.md</t>
      </text>
    </comment>
    <comment ref="D23" authorId="0" shapeId="0">
      <text>
        <t>Loan: FPG, AMORTIZING. Source: Loan 56 - data/loans.md</t>
      </text>
    </comment>
    <comment ref="E23" authorId="0" shapeId="0">
      <text>
        <t>Loan: FPG, AMORTIZING. Source: Loan 56 - data/loans.md</t>
      </text>
    </comment>
    <comment ref="F23" authorId="0" shapeId="0">
      <text>
        <t>Loan: FPG, AMORTIZING. Source: Loan 56 - data/loans.md</t>
      </text>
    </comment>
    <comment ref="C24" authorId="0" shapeId="0">
      <text>
        <t>Loan: FPG, AMORTIZING. Source: Loan 56 - data/loans.md</t>
      </text>
    </comment>
    <comment ref="D24" authorId="0" shapeId="0">
      <text>
        <t>Loan: FPG, AMORTIZING. Source: Loan 56 - data/loans.md</t>
      </text>
    </comment>
    <comment ref="E24" authorId="0" shapeId="0">
      <text>
        <t>Loan: FPG, AMORTIZING. Source: Loan 56 - data/loans.md</t>
      </text>
    </comment>
    <comment ref="F24" authorId="0" shapeId="0">
      <text>
        <t>Loan: FPG, AMORTIZING. Source: Loan 56 - data/loans.md</t>
      </text>
    </comment>
    <comment ref="C25" authorId="0" shapeId="0">
      <text>
        <t>Loan: FPG, AMORTIZING. Source: Loan 56 - data/loans.md</t>
      </text>
    </comment>
    <comment ref="D25" authorId="0" shapeId="0">
      <text>
        <t>Loan: FPG, AMORTIZING. Source: Loan 56 - data/loans.md</t>
      </text>
    </comment>
    <comment ref="E25" authorId="0" shapeId="0">
      <text>
        <t>Loan: FPG, AMORTIZING. Source: Loan 56 - data/loans.md</t>
      </text>
    </comment>
    <comment ref="F25" authorId="0" shapeId="0">
      <text>
        <t>Loan: FPG, AMORTIZING. Source: Loan 56 - data/loans.md</t>
      </text>
    </comment>
    <comment ref="C26" authorId="0" shapeId="0">
      <text>
        <t>Loan: FPG, AMORTIZING. Source: Loan 56 - data/loans.md</t>
      </text>
    </comment>
    <comment ref="D26" authorId="0" shapeId="0">
      <text>
        <t>Loan: FPG, AMORTIZING. Source: Loan 56 - data/loans.md</t>
      </text>
    </comment>
    <comment ref="E26" authorId="0" shapeId="0">
      <text>
        <t>Loan: FPG, AMORTIZING. Source: Loan 56 - data/loans.md</t>
      </text>
    </comment>
    <comment ref="F26" authorId="0" shapeId="0">
      <text>
        <t>Loan: FPG, AMORTIZING. Source: Loan 56 - data/loans.md</t>
      </text>
    </comment>
    <comment ref="C27" authorId="0" shapeId="0">
      <text>
        <t>Loan: FPG, AMORTIZING. Source: Loan 56 - data/loans.md</t>
      </text>
    </comment>
    <comment ref="D27" authorId="0" shapeId="0">
      <text>
        <t>Loan: FPG, AMORTIZING. Source: Loan 56 - data/loans.md</t>
      </text>
    </comment>
    <comment ref="E27" authorId="0" shapeId="0">
      <text>
        <t>Loan: FPG, AMORTIZING. Source: Loan 56 - data/loans.md</t>
      </text>
    </comment>
    <comment ref="F27" authorId="0" shapeId="0">
      <text>
        <t>Loan: FPG, AMORTIZING. Source: Loan 56 - data/loans.md</t>
      </text>
    </comment>
    <comment ref="C28" authorId="0" shapeId="0">
      <text>
        <t>Loan: FPG, AMORTIZING. Source: Loan 56 - data/loans.md</t>
      </text>
    </comment>
    <comment ref="D28" authorId="0" shapeId="0">
      <text>
        <t>Loan: FPG, AMORTIZING. Source: Loan 56 - data/loans.md</t>
      </text>
    </comment>
    <comment ref="E28" authorId="0" shapeId="0">
      <text>
        <t>Loan: FPG, AMORTIZING. Source: Loan 56 - data/loans.md</t>
      </text>
    </comment>
    <comment ref="F28" authorId="0" shapeId="0">
      <text>
        <t>Loan: FPG, AMORTIZING. Source: Loan 56 - data/loans.md</t>
      </text>
    </comment>
    <comment ref="C29" authorId="0" shapeId="0">
      <text>
        <t>Loan: FPG, AMORTIZING. Source: Loan 56 - data/loans.md</t>
      </text>
    </comment>
    <comment ref="D29" authorId="0" shapeId="0">
      <text>
        <t>Loan: FPG, AMORTIZING. Source: Loan 56 - data/loans.md</t>
      </text>
    </comment>
    <comment ref="E29" authorId="0" shapeId="0">
      <text>
        <t>Loan: FPG, AMORTIZING. Source: Loan 56 - data/loans.md</t>
      </text>
    </comment>
    <comment ref="F29" authorId="0" shapeId="0">
      <text>
        <t>Loan: FPG, AMORTIZING. Source: Loan 56 - data/loans.md</t>
      </text>
    </comment>
    <comment ref="C30" authorId="0" shapeId="0">
      <text>
        <t>Loan: FPG, AMORTIZING. Source: Loan 56 - data/loans.md</t>
      </text>
    </comment>
    <comment ref="D30" authorId="0" shapeId="0">
      <text>
        <t>Loan: FPG, AMORTIZING. Source: Loan 56 - data/loans.md</t>
      </text>
    </comment>
    <comment ref="E30" authorId="0" shapeId="0">
      <text>
        <t>Loan: FPG, AMORTIZING. Source: Loan 56 - data/loans.md</t>
      </text>
    </comment>
    <comment ref="F30" authorId="0" shapeId="0">
      <text>
        <t>Loan: FPG, AMORTIZING. Source: Loan 56 - data/loans.md</t>
      </text>
    </comment>
    <comment ref="C31" authorId="0" shapeId="0">
      <text>
        <t>Loan: FPG, AMORTIZING. Source: Loan 56 - data/loans.md</t>
      </text>
    </comment>
    <comment ref="D31" authorId="0" shapeId="0">
      <text>
        <t>Loan: FPG, AMORTIZING. Source: Loan 56 - data/loans.md</t>
      </text>
    </comment>
    <comment ref="E31" authorId="0" shapeId="0">
      <text>
        <t>Loan: FPG, AMORTIZING. Source: Loan 56 - data/loans.md</t>
      </text>
    </comment>
    <comment ref="F31" authorId="0" shapeId="0">
      <text>
        <t>Loan: FPG, AMORTIZING. Source: Loan 56 - data/loans.md</t>
      </text>
    </comment>
    <comment ref="C32" authorId="0" shapeId="0">
      <text>
        <t>Loan: FPG, AMORTIZING. Source: Loan 56 - data/loans.md</t>
      </text>
    </comment>
    <comment ref="D32" authorId="0" shapeId="0">
      <text>
        <t>Loan: FPG, AMORTIZING. Source: Loan 56 - data/loans.md</t>
      </text>
    </comment>
    <comment ref="E32" authorId="0" shapeId="0">
      <text>
        <t>Loan: FPG, AMORTIZING. Source: Loan 56 - data/loans.md</t>
      </text>
    </comment>
    <comment ref="F32" authorId="0" shapeId="0">
      <text>
        <t>Loan: FPG, AMORTIZING. Source: Loan 56 - data/loans.md</t>
      </text>
    </comment>
    <comment ref="C33" authorId="0" shapeId="0">
      <text>
        <t>Loan: FPG, AMORTIZING. Source: Loan 56 - data/loans.md</t>
      </text>
    </comment>
    <comment ref="D33" authorId="0" shapeId="0">
      <text>
        <t>Loan: FPG, AMORTIZING. Source: Loan 56 - data/loans.md</t>
      </text>
    </comment>
    <comment ref="E33" authorId="0" shapeId="0">
      <text>
        <t>Loan: FPG, AMORTIZING. Source: Loan 56 - data/loans.md</t>
      </text>
    </comment>
    <comment ref="F33" authorId="0" shapeId="0">
      <text>
        <t>Loan: FPG, AMORTIZING. Source: Loan 56 - data/loans.md</t>
      </text>
    </comment>
    <comment ref="C34" authorId="0" shapeId="0">
      <text>
        <t>Loan: FPG, AMORTIZING. Source: Loan 56 - data/loans.md</t>
      </text>
    </comment>
    <comment ref="D34" authorId="0" shapeId="0">
      <text>
        <t>Loan: FPG, AMORTIZING. Source: Loan 56 - data/loans.md</t>
      </text>
    </comment>
    <comment ref="E34" authorId="0" shapeId="0">
      <text>
        <t>Loan: FPG, AMORTIZING. Source: Loan 56 - data/loans.md</t>
      </text>
    </comment>
    <comment ref="F34" authorId="0" shapeId="0">
      <text>
        <t>Loan: FPG, AMORTIZING. Source: Loan 56 - data/loans.md</t>
      </text>
    </comment>
    <comment ref="C35" authorId="0" shapeId="0">
      <text>
        <t>Loan: FPG, AMORTIZING. Source: Loan 56 - data/loans.md</t>
      </text>
    </comment>
    <comment ref="D35" authorId="0" shapeId="0">
      <text>
        <t>Loan: FPG, AMORTIZING. Source: Loan 56 - data/loans.md</t>
      </text>
    </comment>
    <comment ref="E35" authorId="0" shapeId="0">
      <text>
        <t>Loan: FPG, AMORTIZING. Source: Loan 56 - data/loans.md</t>
      </text>
    </comment>
    <comment ref="F35" authorId="0" shapeId="0">
      <text>
        <t>Loan: FPG, AMORTIZING. Source: Loan 56 - data/loans.md</t>
      </text>
    </comment>
    <comment ref="C36" authorId="0" shapeId="0">
      <text>
        <t>Loan: FPG, AMORTIZING. Source: Loan 56 - data/loans.md</t>
      </text>
    </comment>
    <comment ref="D36" authorId="0" shapeId="0">
      <text>
        <t>Loan: FPG, AMORTIZING. Source: Loan 56 - data/loans.md</t>
      </text>
    </comment>
    <comment ref="E36" authorId="0" shapeId="0">
      <text>
        <t>Loan: FPG, AMORTIZING. Source: Loan 56 - data/loans.md</t>
      </text>
    </comment>
    <comment ref="F36" authorId="0" shapeId="0">
      <text>
        <t>Loan: FPG, AMORTIZING. Source: Loan 56 - data/loans.md</t>
      </text>
    </comment>
    <comment ref="C37" authorId="0" shapeId="0">
      <text>
        <t>Loan: FPG, AMORTIZING. Source: Loan 56 - data/loans.md</t>
      </text>
    </comment>
    <comment ref="D37" authorId="0" shapeId="0">
      <text>
        <t>Loan: FPG, AMORTIZING. Source: Loan 56 - data/loans.md</t>
      </text>
    </comment>
    <comment ref="E37" authorId="0" shapeId="0">
      <text>
        <t>Loan: FPG, AMORTIZING. Source: Loan 56 - data/loans.md</t>
      </text>
    </comment>
    <comment ref="F37" authorId="0" shapeId="0">
      <text>
        <t>Loan: FPG, AMORTIZING. Source: Loan 56 - data/loans.md</t>
      </text>
    </comment>
    <comment ref="C38" authorId="0" shapeId="0">
      <text>
        <t>Loan: FPG, AMORTIZING. Source: Loan 56 - data/loans.md</t>
      </text>
    </comment>
    <comment ref="D38" authorId="0" shapeId="0">
      <text>
        <t>Loan: FPG, AMORTIZING. Source: Loan 56 - data/loans.md</t>
      </text>
    </comment>
    <comment ref="E38" authorId="0" shapeId="0">
      <text>
        <t>Loan: FPG, AMORTIZING. Source: Loan 56 - data/loans.md</t>
      </text>
    </comment>
    <comment ref="F38" authorId="0" shapeId="0">
      <text>
        <t>Loan: FPG, AMORTIZING. Source: Loan 56 - data/loans.md</t>
      </text>
    </comment>
    <comment ref="C39" authorId="0" shapeId="0">
      <text>
        <t>Loan: FPG, AMORTIZING. Source: Loan 56 - data/loans.md</t>
      </text>
    </comment>
    <comment ref="D39" authorId="0" shapeId="0">
      <text>
        <t>Loan: FPG, AMORTIZING. Source: Loan 56 - data/loans.md</t>
      </text>
    </comment>
    <comment ref="E39" authorId="0" shapeId="0">
      <text>
        <t>Loan: FPG, AMORTIZING. Source: Loan 56 - data/loans.md</t>
      </text>
    </comment>
    <comment ref="F39" authorId="0" shapeId="0">
      <text>
        <t>Loan: FPG, AMORTIZING. Source: Loan 56 - data/loans.md</t>
      </text>
    </comment>
    <comment ref="C40" authorId="0" shapeId="0">
      <text>
        <t>Loan: FPG, AMORTIZING. Source: Loan 56 - data/loans.md</t>
      </text>
    </comment>
    <comment ref="D40" authorId="0" shapeId="0">
      <text>
        <t>Loan: FPG, AMORTIZING. Source: Loan 56 - data/loans.md</t>
      </text>
    </comment>
    <comment ref="E40" authorId="0" shapeId="0">
      <text>
        <t>Loan: FPG, AMORTIZING. Source: Loan 56 - data/loans.md</t>
      </text>
    </comment>
    <comment ref="F40" authorId="0" shapeId="0">
      <text>
        <t>Loan: FPG, AMORTIZING. Source: Loan 56 - data/loans.md</t>
      </text>
    </comment>
    <comment ref="C41" authorId="0" shapeId="0">
      <text>
        <t>Loan: FPG, AMORTIZING. Source: Loan 56 - data/loans.md</t>
      </text>
    </comment>
    <comment ref="D41" authorId="0" shapeId="0">
      <text>
        <t>Loan: FPG, AMORTIZING. Source: Loan 56 - data/loans.md</t>
      </text>
    </comment>
    <comment ref="E41" authorId="0" shapeId="0">
      <text>
        <t>Loan: FPG, AMORTIZING. Source: Loan 56 - data/loans.md</t>
      </text>
    </comment>
    <comment ref="F41" authorId="0" shapeId="0">
      <text>
        <t>Loan: FPG, AMORTIZING. Source: Loan 56 - data/loans.md</t>
      </text>
    </comment>
    <comment ref="C42" authorId="0" shapeId="0">
      <text>
        <t>Loan: FPG, AMORTIZING. Source: Loan 56 - data/loans.md</t>
      </text>
    </comment>
    <comment ref="D42" authorId="0" shapeId="0">
      <text>
        <t>Loan: FPG, AMORTIZING. Source: Loan 56 - data/loans.md</t>
      </text>
    </comment>
    <comment ref="E42" authorId="0" shapeId="0">
      <text>
        <t>Loan: FPG, AMORTIZING. Source: Loan 56 - data/loans.md</t>
      </text>
    </comment>
    <comment ref="F42" authorId="0" shapeId="0">
      <text>
        <t>Loan: FPG, AMORTIZING. Source: Loan 56 - data/loans.md</t>
      </text>
    </comment>
    <comment ref="C43" authorId="0" shapeId="0">
      <text>
        <t>Loan: FPG, AMORTIZING. Source: Loan 56 - data/loans.md</t>
      </text>
    </comment>
    <comment ref="D43" authorId="0" shapeId="0">
      <text>
        <t>Loan: FPG, AMORTIZING. Source: Loan 56 - data/loans.md</t>
      </text>
    </comment>
    <comment ref="E43" authorId="0" shapeId="0">
      <text>
        <t>Loan: FPG, AMORTIZING. Source: Loan 56 - data/loans.md</t>
      </text>
    </comment>
    <comment ref="F43" authorId="0" shapeId="0">
      <text>
        <t>Loan: FPG, AMORTIZING. Source: Loan 56 - data/loans.md</t>
      </text>
    </comment>
    <comment ref="C44" authorId="0" shapeId="0">
      <text>
        <t>Loan: FPG, AMORTIZING. Source: Loan 56 - data/loans.md</t>
      </text>
    </comment>
    <comment ref="D44" authorId="0" shapeId="0">
      <text>
        <t>Loan: FPG, AMORTIZING. Source: Loan 56 - data/loans.md</t>
      </text>
    </comment>
    <comment ref="E44" authorId="0" shapeId="0">
      <text>
        <t>Loan: FPG, AMORTIZING. Source: Loan 56 - data/loans.md</t>
      </text>
    </comment>
    <comment ref="F44" authorId="0" shapeId="0">
      <text>
        <t>Loan: FPG, AMORTIZING. Source: Loan 56 - data/loans.md</t>
      </text>
    </comment>
    <comment ref="C45" authorId="0" shapeId="0">
      <text>
        <t>Loan: FPG, AMORTIZING. Source: Loan 56 - data/loans.md</t>
      </text>
    </comment>
    <comment ref="D45" authorId="0" shapeId="0">
      <text>
        <t>Loan: FPG, AMORTIZING. Source: Loan 56 - data/loans.md</t>
      </text>
    </comment>
    <comment ref="E45" authorId="0" shapeId="0">
      <text>
        <t>Loan: FPG, AMORTIZING. Source: Loan 56 - data/loans.md</t>
      </text>
    </comment>
    <comment ref="F45" authorId="0" shapeId="0">
      <text>
        <t>Loan: FPG, AMORTIZING. Source: Loan 56 - data/loans.md</t>
      </text>
    </comment>
    <comment ref="C46" authorId="0" shapeId="0">
      <text>
        <t>Loan: FPG, AMORTIZING. Source: Loan 56 - data/loans.md</t>
      </text>
    </comment>
    <comment ref="D46" authorId="0" shapeId="0">
      <text>
        <t>Loan: FPG, AMORTIZING. Source: Loan 56 - data/loans.md</t>
      </text>
    </comment>
    <comment ref="E46" authorId="0" shapeId="0">
      <text>
        <t>Loan: FPG, AMORTIZING. Source: Loan 56 - data/loans.md</t>
      </text>
    </comment>
    <comment ref="F46" authorId="0" shapeId="0">
      <text>
        <t>Loan: FPG, AMORTIZING. Source: Loan 56 - data/loans.md</t>
      </text>
    </comment>
    <comment ref="C47" authorId="0" shapeId="0">
      <text>
        <t>Loan: FPG, AMORTIZING. Source: Loan 56 - data/loans.md</t>
      </text>
    </comment>
    <comment ref="D47" authorId="0" shapeId="0">
      <text>
        <t>Loan: FPG, AMORTIZING. Source: Loan 56 - data/loans.md</t>
      </text>
    </comment>
    <comment ref="E47" authorId="0" shapeId="0">
      <text>
        <t>Loan: FPG, AMORTIZING. Source: Loan 56 - data/loans.md</t>
      </text>
    </comment>
    <comment ref="F47" authorId="0" shapeId="0">
      <text>
        <t>Loan: FPG, AMORTIZING. Source: Loan 56 - data/loans.md</t>
      </text>
    </comment>
    <comment ref="C48" authorId="0" shapeId="0">
      <text>
        <t>Loan: FPG, AMORTIZING. Source: Loan 56 - data/loans.md</t>
      </text>
    </comment>
    <comment ref="D48" authorId="0" shapeId="0">
      <text>
        <t>Loan: FPG, AMORTIZING. Source: Loan 56 - data/loans.md</t>
      </text>
    </comment>
    <comment ref="E48" authorId="0" shapeId="0">
      <text>
        <t>Loan: FPG, AMORTIZING. Source: Loan 56 - data/loans.md</t>
      </text>
    </comment>
    <comment ref="F48" authorId="0" shapeId="0">
      <text>
        <t>Loan: FPG, AMORTIZING. Source: Loan 56 - data/loans.md</t>
      </text>
    </comment>
    <comment ref="C49" authorId="0" shapeId="0">
      <text>
        <t>Loan: FPG, AMORTIZING. Source: Loan 56 - data/loans.md</t>
      </text>
    </comment>
    <comment ref="D49" authorId="0" shapeId="0">
      <text>
        <t>Loan: FPG, AMORTIZING. Source: Loan 56 - data/loans.md</t>
      </text>
    </comment>
    <comment ref="E49" authorId="0" shapeId="0">
      <text>
        <t>Loan: FPG, AMORTIZING. Source: Loan 56 - data/loans.md</t>
      </text>
    </comment>
    <comment ref="F49" authorId="0" shapeId="0">
      <text>
        <t>Loan: FPG, AMORTIZING. Source: Loan 56 - data/loans.md</t>
      </text>
    </comment>
    <comment ref="C50" authorId="0" shapeId="0">
      <text>
        <t>Loan: FPG, AMORTIZING. Source: Loan 56 - data/loans.md</t>
      </text>
    </comment>
    <comment ref="D50" authorId="0" shapeId="0">
      <text>
        <t>Loan: FPG, AMORTIZING. Source: Loan 56 - data/loans.md</t>
      </text>
    </comment>
    <comment ref="E50" authorId="0" shapeId="0">
      <text>
        <t>Loan: FPG, AMORTIZING. Source: Loan 56 - data/loans.md</t>
      </text>
    </comment>
    <comment ref="F50" authorId="0" shapeId="0">
      <text>
        <t>Loan: FPG, AMORTIZING. Source: Loan 56 - data/loans.md</t>
      </text>
    </comment>
    <comment ref="C51" authorId="0" shapeId="0">
      <text>
        <t>Loan: FPG, AMORTIZING. Source: Loan 56 - data/loans.md</t>
      </text>
    </comment>
    <comment ref="D51" authorId="0" shapeId="0">
      <text>
        <t>Loan: FPG, AMORTIZING. Source: Loan 56 - data/loans.md</t>
      </text>
    </comment>
    <comment ref="E51" authorId="0" shapeId="0">
      <text>
        <t>Loan: FPG, AMORTIZING. Source: Loan 56 - data/loans.md</t>
      </text>
    </comment>
    <comment ref="F51" authorId="0" shapeId="0">
      <text>
        <t>Loan: FPG, AMORTIZING. Source: Loan 56 - data/loans.md</t>
      </text>
    </comment>
    <comment ref="C52" authorId="0" shapeId="0">
      <text>
        <t>Loan: FPG, AMORTIZING. Source: Loan 56 - data/loans.md</t>
      </text>
    </comment>
    <comment ref="D52" authorId="0" shapeId="0">
      <text>
        <t>Loan: FPG, AMORTIZING. Source: Loan 56 - data/loans.md</t>
      </text>
    </comment>
    <comment ref="E52" authorId="0" shapeId="0">
      <text>
        <t>Loan: FPG, AMORTIZING. Source: Loan 56 - data/loans.md</t>
      </text>
    </comment>
    <comment ref="F52" authorId="0" shapeId="0">
      <text>
        <t>Loan: FPG, AMORTIZING. Source: Loan 56 - data/loans.md</t>
      </text>
    </comment>
    <comment ref="B57" authorId="0" shapeId="0">
      <text>
        <t>Sum of rows 21-32: Opening balance for 2026</t>
      </text>
    </comment>
    <comment ref="C57" authorId="0" shapeId="0">
      <text>
        <t>Sum of rows 21-32: Total interest for 2026</t>
      </text>
    </comment>
    <comment ref="D57" authorId="0" shapeId="0">
      <text>
        <t>Sum of rows 21-32: Total principal for 2026</t>
      </text>
    </comment>
    <comment ref="E57" authorId="0" shapeId="0">
      <text>
        <t>Sum of rows 21-32: Closing balance for 2026</t>
      </text>
    </comment>
    <comment ref="B58" authorId="0" shapeId="0">
      <text>
        <t>Sum of rows 33-44: Opening balance for 2027</t>
      </text>
    </comment>
    <comment ref="C58" authorId="0" shapeId="0">
      <text>
        <t>Sum of rows 33-44: Total interest for 2027</t>
      </text>
    </comment>
    <comment ref="D58" authorId="0" shapeId="0">
      <text>
        <t>Sum of rows 33-44: Total principal for 2027</t>
      </text>
    </comment>
    <comment ref="E58" authorId="0" shapeId="0">
      <text>
        <t>Sum of rows 33-44: Closing balance for 2027</t>
      </text>
    </comment>
    <comment ref="B59" authorId="0" shapeId="0">
      <text>
        <t>Sum of rows 45-52: Opening balance for 2028</t>
      </text>
    </comment>
    <comment ref="C59" authorId="0" shapeId="0">
      <text>
        <t>Sum of rows 45-52: Total interest for 2028</t>
      </text>
    </comment>
    <comment ref="D59" authorId="0" shapeId="0">
      <text>
        <t>Sum of rows 45-52: Total principal for 2028</t>
      </text>
    </comment>
    <comment ref="E59" authorId="0" shapeId="0">
      <text>
        <t>Sum of rows 45-52: Closing balance for 2028</t>
      </text>
    </comment>
    <comment ref="B62" authorId="0" shapeId="0">
      <text>
        <t>Reference cell for Debt Schedule linking. Links to: B10.</t>
      </text>
    </comment>
  </commentList>
</comments>
</file>

<file path=xl/comments/comment4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loans.md, Loan 003
Extracted: 2026-05-14</t>
      </text>
    </comment>
    <comment ref="B6" authorId="0" shapeId="0">
      <text>
        <t>Source: Meiborg_Debt_Schedule_202512.xlsx
Balance as of 12/31/2025
Original Balance: $386,346.50</t>
      </text>
    </comment>
    <comment ref="B7" authorId="0" shapeId="0">
      <text>
        <t>Source: loans.md, Loan 003
Extracted: 2026-05-14</t>
      </text>
    </comment>
    <comment ref="B8" authorId="0" shapeId="0">
      <text>
        <t>Source: loans.md, Loan 003
Extracted: 2026-05-14</t>
      </text>
    </comment>
    <comment ref="C23" authorId="0" shapeId="0">
      <text>
        <t>Loan: Webster Capital Finance. Source: Meiborg_Debt_Schedule_202512.xlsx</t>
      </text>
    </comment>
    <comment ref="D23" authorId="0" shapeId="0">
      <text>
        <t>Loan: Webster Capital Finance. Interest = MAX(0, Opening * Rate/12)</t>
      </text>
    </comment>
    <comment ref="E23" authorId="0" shapeId="0">
      <text>
        <t>Loan: Webster Capital Finance. Principal = MAX(0, MIN(Opening, Payment - Interest))</t>
      </text>
    </comment>
    <comment ref="F23" authorId="0" shapeId="0">
      <text>
        <t>Loan: Webster Capital Finance. Closing = MAX(0, Opening - Principal)</t>
      </text>
    </comment>
    <comment ref="C24" authorId="0" shapeId="0">
      <text>
        <t>Loan: Webster Capital Finance. Opening = prior month closing balance.</t>
      </text>
    </comment>
    <comment ref="D24" authorId="0" shapeId="0">
      <text>
        <t>Loan: Webster Capital Finance. Interest = MAX(0, Opening * Rate/12)</t>
      </text>
    </comment>
    <comment ref="E24" authorId="0" shapeId="0">
      <text>
        <t>Loan: Webster Capital Finance. Principal = MAX(0, MIN(Opening, Payment - Interest))</t>
      </text>
    </comment>
    <comment ref="F24" authorId="0" shapeId="0">
      <text>
        <t>Loan: Webster Capital Finance. Closing = MAX(0, Opening - Principal)</t>
      </text>
    </comment>
    <comment ref="C25" authorId="0" shapeId="0">
      <text>
        <t>Loan: Webster Capital Finance. Opening = prior month closing balance.</t>
      </text>
    </comment>
    <comment ref="D25" authorId="0" shapeId="0">
      <text>
        <t>Loan: Webster Capital Finance. Interest = MAX(0, Opening * Rate/12)</t>
      </text>
    </comment>
    <comment ref="E25" authorId="0" shapeId="0">
      <text>
        <t>Loan: Webster Capital Finance. Principal = MAX(0, MIN(Opening, Payment - Interest))</t>
      </text>
    </comment>
    <comment ref="F25" authorId="0" shapeId="0">
      <text>
        <t>Loan: Webster Capital Finance. Closing = MAX(0, Opening - Principal)</t>
      </text>
    </comment>
    <comment ref="C26" authorId="0" shapeId="0">
      <text>
        <t>Loan: Webster Capital Finance. Opening = prior month closing balance.</t>
      </text>
    </comment>
    <comment ref="D26" authorId="0" shapeId="0">
      <text>
        <t>Loan: Webster Capital Finance. Interest = MAX(0, Opening * Rate/12)</t>
      </text>
    </comment>
    <comment ref="E26" authorId="0" shapeId="0">
      <text>
        <t>Loan: Webster Capital Finance. Principal = MAX(0, MIN(Opening, Payment - Interest))</t>
      </text>
    </comment>
    <comment ref="F26" authorId="0" shapeId="0">
      <text>
        <t>Loan: Webster Capital Finance. Closing = MAX(0, Opening - Principal)</t>
      </text>
    </comment>
    <comment ref="C27" authorId="0" shapeId="0">
      <text>
        <t>Loan: Webster Capital Finance. Opening = prior month closing balance.</t>
      </text>
    </comment>
    <comment ref="D27" authorId="0" shapeId="0">
      <text>
        <t>Loan: Webster Capital Finance. Interest = MAX(0, Opening * Rate/12)</t>
      </text>
    </comment>
    <comment ref="E27" authorId="0" shapeId="0">
      <text>
        <t>Loan: Webster Capital Finance. Principal = MAX(0, MIN(Opening, Payment - Interest))</t>
      </text>
    </comment>
    <comment ref="F27" authorId="0" shapeId="0">
      <text>
        <t>Loan: Webster Capital Finance. Closing = MAX(0, Opening - Principal)</t>
      </text>
    </comment>
    <comment ref="C28" authorId="0" shapeId="0">
      <text>
        <t>Loan: Webster Capital Finance. Opening = prior month closing balance.</t>
      </text>
    </comment>
    <comment ref="D28" authorId="0" shapeId="0">
      <text>
        <t>Loan: Webster Capital Finance. Interest = MAX(0, Opening * Rate/12)</t>
      </text>
    </comment>
    <comment ref="E28" authorId="0" shapeId="0">
      <text>
        <t>Loan: Webster Capital Finance. Principal = MAX(0, MIN(Opening, Payment - Interest))</t>
      </text>
    </comment>
    <comment ref="F28" authorId="0" shapeId="0">
      <text>
        <t>Loan: Webster Capital Finance. Closing = MAX(0, Opening - Principal)</t>
      </text>
    </comment>
    <comment ref="C29" authorId="0" shapeId="0">
      <text>
        <t>Loan: Webster Capital Finance. Opening = prior month closing balance.</t>
      </text>
    </comment>
    <comment ref="D29" authorId="0" shapeId="0">
      <text>
        <t>Loan: Webster Capital Finance. Interest = MAX(0, Opening * Rate/12)</t>
      </text>
    </comment>
    <comment ref="E29" authorId="0" shapeId="0">
      <text>
        <t>Loan: Webster Capital Finance. Principal = MAX(0, MIN(Opening, Payment - Interest))</t>
      </text>
    </comment>
    <comment ref="F29" authorId="0" shapeId="0">
      <text>
        <t>Loan: Webster Capital Finance. Closing = MAX(0, Opening - Principal)</t>
      </text>
    </comment>
    <comment ref="C30" authorId="0" shapeId="0">
      <text>
        <t>Loan: Webster Capital Finance. Opening = prior month closing balance.</t>
      </text>
    </comment>
    <comment ref="D30" authorId="0" shapeId="0">
      <text>
        <t>Loan: Webster Capital Finance. Interest = MAX(0, Opening * Rate/12)</t>
      </text>
    </comment>
    <comment ref="E30" authorId="0" shapeId="0">
      <text>
        <t>Loan: Webster Capital Finance. Principal = MAX(0, MIN(Opening, Payment - Interest))</t>
      </text>
    </comment>
    <comment ref="F30" authorId="0" shapeId="0">
      <text>
        <t>Loan: Webster Capital Finance. Closing = MAX(0, Opening - Principal)</t>
      </text>
    </comment>
    <comment ref="C31" authorId="0" shapeId="0">
      <text>
        <t>Loan: Webster Capital Finance. Opening = prior month closing balance.</t>
      </text>
    </comment>
    <comment ref="D31" authorId="0" shapeId="0">
      <text>
        <t>Loan: Webster Capital Finance. Interest = MAX(0, Opening * Rate/12)</t>
      </text>
    </comment>
    <comment ref="E31" authorId="0" shapeId="0">
      <text>
        <t>Loan: Webster Capital Finance. Principal = MAX(0, MIN(Opening, Payment - Interest))</t>
      </text>
    </comment>
    <comment ref="F31" authorId="0" shapeId="0">
      <text>
        <t>Loan: Webster Capital Finance. Closing = MAX(0, Opening - Principal)</t>
      </text>
    </comment>
    <comment ref="C32" authorId="0" shapeId="0">
      <text>
        <t>Loan: Webster Capital Finance. Opening = prior month closing balance.</t>
      </text>
    </comment>
    <comment ref="D32" authorId="0" shapeId="0">
      <text>
        <t>Loan: Webster Capital Finance. Interest = MAX(0, Opening * Rate/12)</t>
      </text>
    </comment>
    <comment ref="E32" authorId="0" shapeId="0">
      <text>
        <t>Loan: Webster Capital Finance. Principal = MAX(0, MIN(Opening, Payment - Interest))</t>
      </text>
    </comment>
    <comment ref="F32" authorId="0" shapeId="0">
      <text>
        <t>Loan: Webster Capital Finance. Closing = MAX(0, Opening - Principal)</t>
      </text>
    </comment>
    <comment ref="C33" authorId="0" shapeId="0">
      <text>
        <t>Loan: Webster Capital Finance. Opening = prior month closing balance.</t>
      </text>
    </comment>
    <comment ref="D33" authorId="0" shapeId="0">
      <text>
        <t>Loan: Webster Capital Finance. Interest = MAX(0, Opening * Rate/12)</t>
      </text>
    </comment>
    <comment ref="E33" authorId="0" shapeId="0">
      <text>
        <t>Loan: Webster Capital Finance. Principal = MAX(0, MIN(Opening, Payment - Interest))</t>
      </text>
    </comment>
    <comment ref="F33" authorId="0" shapeId="0">
      <text>
        <t>Loan: Webster Capital Finance. Closing = MAX(0, Opening - Principal)</t>
      </text>
    </comment>
    <comment ref="C34" authorId="0" shapeId="0">
      <text>
        <t>Loan: Webster Capital Finance. Opening = prior month closing balance.</t>
      </text>
    </comment>
    <comment ref="D34" authorId="0" shapeId="0">
      <text>
        <t>Loan: Webster Capital Finance. Interest = MAX(0, Opening * Rate/12)</t>
      </text>
    </comment>
    <comment ref="E34" authorId="0" shapeId="0">
      <text>
        <t>Loan: Webster Capital Finance. Principal = MAX(0, MIN(Opening, Payment - Interest))</t>
      </text>
    </comment>
    <comment ref="F34" authorId="0" shapeId="0">
      <text>
        <t>Loan: Webster Capital Finance. Closing = MAX(0, Opening - Principal)</t>
      </text>
    </comment>
    <comment ref="C35" authorId="0" shapeId="0">
      <text>
        <t>Loan: Webster Capital Finance. Opening = prior month closing balance.</t>
      </text>
    </comment>
    <comment ref="D35" authorId="0" shapeId="0">
      <text>
        <t>Loan: Webster Capital Finance. Interest = MAX(0, Opening * Rate/12)</t>
      </text>
    </comment>
    <comment ref="E35" authorId="0" shapeId="0">
      <text>
        <t>Loan: Webster Capital Finance. Principal = MAX(0, MIN(Opening, Payment - Interest))</t>
      </text>
    </comment>
    <comment ref="F35" authorId="0" shapeId="0">
      <text>
        <t>Loan: Webster Capital Finance. Closing = MAX(0, Opening - Principal)</t>
      </text>
    </comment>
    <comment ref="C36" authorId="0" shapeId="0">
      <text>
        <t>Loan: Webster Capital Finance. Opening = prior month closing balance.</t>
      </text>
    </comment>
    <comment ref="D36" authorId="0" shapeId="0">
      <text>
        <t>Loan: Webster Capital Finance. Interest = MAX(0, Opening * Rate/12)</t>
      </text>
    </comment>
    <comment ref="E36" authorId="0" shapeId="0">
      <text>
        <t>Loan: Webster Capital Finance. Principal = MAX(0, MIN(Opening, Payment - Interest))</t>
      </text>
    </comment>
    <comment ref="F36" authorId="0" shapeId="0">
      <text>
        <t>Loan: Webster Capital Finance. Closing = MAX(0, Opening - Principal)</t>
      </text>
    </comment>
    <comment ref="C37" authorId="0" shapeId="0">
      <text>
        <t>Loan: Webster Capital Finance. Opening = prior month closing balance.</t>
      </text>
    </comment>
    <comment ref="D37" authorId="0" shapeId="0">
      <text>
        <t>Loan: Webster Capital Finance. Interest = MAX(0, Opening * Rate/12)</t>
      </text>
    </comment>
    <comment ref="E37" authorId="0" shapeId="0">
      <text>
        <t>Loan: Webster Capital Finance. Principal = MAX(0, MIN(Opening, Payment - Interest))</t>
      </text>
    </comment>
    <comment ref="F37" authorId="0" shapeId="0">
      <text>
        <t>Loan: Webster Capital Finance. Closing = MAX(0, Opening - Principal)</t>
      </text>
    </comment>
    <comment ref="C38" authorId="0" shapeId="0">
      <text>
        <t>Loan: Webster Capital Finance. Opening = prior month closing balance.</t>
      </text>
    </comment>
    <comment ref="D38" authorId="0" shapeId="0">
      <text>
        <t>Loan: Webster Capital Finance. Interest = MAX(0, Opening * Rate/12)</t>
      </text>
    </comment>
    <comment ref="E38" authorId="0" shapeId="0">
      <text>
        <t>Loan: Webster Capital Finance. Principal = MAX(0, MIN(Opening, Payment - Interest))</t>
      </text>
    </comment>
    <comment ref="F38" authorId="0" shapeId="0">
      <text>
        <t>Loan: Webster Capital Finance. Closing = MAX(0, Opening - Principal)</t>
      </text>
    </comment>
    <comment ref="C39" authorId="0" shapeId="0">
      <text>
        <t>Loan: Webster Capital Finance. Opening = prior month closing balance.</t>
      </text>
    </comment>
    <comment ref="D39" authorId="0" shapeId="0">
      <text>
        <t>Loan: Webster Capital Finance. Interest = MAX(0, Opening * Rate/12)</t>
      </text>
    </comment>
    <comment ref="E39" authorId="0" shapeId="0">
      <text>
        <t>Loan: Webster Capital Finance. Principal = MAX(0, MIN(Opening, Payment - Interest))</t>
      </text>
    </comment>
    <comment ref="F39" authorId="0" shapeId="0">
      <text>
        <t>Loan: Webster Capital Finance. Closing = MAX(0, Opening - Principal)</t>
      </text>
    </comment>
    <comment ref="C40" authorId="0" shapeId="0">
      <text>
        <t>Loan: Webster Capital Finance. Opening = prior month closing balance.</t>
      </text>
    </comment>
    <comment ref="D40" authorId="0" shapeId="0">
      <text>
        <t>Loan: Webster Capital Finance. Interest = MAX(0, Opening * Rate/12)</t>
      </text>
    </comment>
    <comment ref="E40" authorId="0" shapeId="0">
      <text>
        <t>Loan: Webster Capital Finance. Principal = MAX(0, MIN(Opening, Payment - Interest))</t>
      </text>
    </comment>
    <comment ref="F40" authorId="0" shapeId="0">
      <text>
        <t>Loan: Webster Capital Finance. Closing = MAX(0, Opening - Principal)</t>
      </text>
    </comment>
    <comment ref="C45" authorId="0" shapeId="0">
      <text>
        <t>Sum of rows 23-34: Year 2026 opening balance</t>
      </text>
    </comment>
    <comment ref="D45" authorId="0" shapeId="0">
      <text>
        <t>Sum of rows 23-34: Year 2026 interest expense</t>
      </text>
    </comment>
    <comment ref="E45" authorId="0" shapeId="0">
      <text>
        <t>Sum of rows 23-34: Year 2026 principal repaid</t>
      </text>
    </comment>
    <comment ref="F45" authorId="0" shapeId="0">
      <text>
        <t>Sum of rows 23-34: Year 2026 closing balance</t>
      </text>
    </comment>
    <comment ref="C46" authorId="0" shapeId="0">
      <text>
        <t>Sum of rows 35-40: Year 2027 opening balance</t>
      </text>
    </comment>
    <comment ref="D46" authorId="0" shapeId="0">
      <text>
        <t>Sum of rows 35-40: Year 2027 interest expense</t>
      </text>
    </comment>
    <comment ref="E46" authorId="0" shapeId="0">
      <text>
        <t>Sum of rows 35-40: Year 2027 principal repaid</t>
      </text>
    </comment>
    <comment ref="F46" authorId="0" shapeId="0">
      <text>
        <t>Sum of rows 35-40: Year 2027 closing balance</t>
      </text>
    </comment>
  </commentList>
</comments>
</file>

<file path=xl/comments/comment40.xml><?xml version="1.0" encoding="utf-8"?>
<comments xmlns="http://schemas.openxmlformats.org/spreadsheetml/2006/main">
  <authors>
    <author>Model Builder</author>
  </authors>
  <commentList>
    <comment ref="B7" authorId="0" shapeId="0">
      <text>
        <t>Source: Meiborg_Debt_Schedule_202512.xlsx - Loan 66
Extracted: 2025-12-31</t>
      </text>
    </comment>
    <comment ref="B8" authorId="0" shapeId="0">
      <text>
        <t>Source: Meiborg_Debt_Schedule_202512.xlsx - Loan 66
Extracted: 2025-12-31</t>
      </text>
    </comment>
    <comment ref="B9" authorId="0" shapeId="0">
      <text>
        <t>Loan: Peapack Capital, AMORTIZING. Source: Meiborg_Debt_Schedule_202512.xlsx - Loan 66</t>
      </text>
    </comment>
    <comment ref="B10" authorId="0" shapeId="0">
      <text>
        <t>Fixed monthly payment. Source: Meiborg_Debt_Schedule_202512.xlsx - Loan 66</t>
      </text>
    </comment>
    <comment ref="C23" authorId="0" shapeId="0">
      <text>
        <t>Loan: Peapack Capital, AMORTIZING. Source: Meiborg_Debt_Schedule_202512.xlsx - Loan 66</t>
      </text>
    </comment>
    <comment ref="D23" authorId="0" shapeId="0">
      <text>
        <t>Interest: MAX(0, Opening * AnnualRate/12). Source: Meiborg_Debt_Schedule_202512.xlsx - Loan 66</t>
      </text>
    </comment>
    <comment ref="E23" authorId="0" shapeId="0">
      <text>
        <t>Principal: MAX(0, MIN(Opening, Payment-Interest)). Source: Meiborg_Debt_Schedule_202512.xlsx - Loan 66</t>
      </text>
    </comment>
    <comment ref="F23" authorId="0" shapeId="0">
      <text>
        <t>Closing: MAX(0, Opening - Principal). Check: must equal next period Opening.</t>
      </text>
    </comment>
    <comment ref="C24" authorId="0" shapeId="0">
      <text>
        <t>Loan: Peapack Capital, AMORTIZING. Source: Meiborg_Debt_Schedule_202512.xlsx - Loan 66</t>
      </text>
    </comment>
    <comment ref="D24" authorId="0" shapeId="0">
      <text>
        <t>Interest: MAX(0, Opening * AnnualRate/12). Source: Meiborg_Debt_Schedule_202512.xlsx - Loan 66</t>
      </text>
    </comment>
    <comment ref="E24" authorId="0" shapeId="0">
      <text>
        <t>Principal: MAX(0, MIN(Opening, Payment-Interest)). Source: Meiborg_Debt_Schedule_202512.xlsx - Loan 66</t>
      </text>
    </comment>
    <comment ref="F24" authorId="0" shapeId="0">
      <text>
        <t>Closing: MAX(0, Opening - Principal). Check: must equal next period Opening.</t>
      </text>
    </comment>
    <comment ref="C25" authorId="0" shapeId="0">
      <text>
        <t>Loan: Peapack Capital, AMORTIZING. Source: Meiborg_Debt_Schedule_202512.xlsx - Loan 66</t>
      </text>
    </comment>
    <comment ref="D25" authorId="0" shapeId="0">
      <text>
        <t>Interest: MAX(0, Opening * AnnualRate/12). Source: Meiborg_Debt_Schedule_202512.xlsx - Loan 66</t>
      </text>
    </comment>
    <comment ref="E25" authorId="0" shapeId="0">
      <text>
        <t>Principal: MAX(0, MIN(Opening, Payment-Interest)). Source: Meiborg_Debt_Schedule_202512.xlsx - Loan 66</t>
      </text>
    </comment>
    <comment ref="F25" authorId="0" shapeId="0">
      <text>
        <t>Closing: MAX(0, Opening - Principal). Check: must equal next period Opening.</t>
      </text>
    </comment>
    <comment ref="C26" authorId="0" shapeId="0">
      <text>
        <t>Loan: Peapack Capital, AMORTIZING. Source: Meiborg_Debt_Schedule_202512.xlsx - Loan 66</t>
      </text>
    </comment>
    <comment ref="D26" authorId="0" shapeId="0">
      <text>
        <t>Interest: MAX(0, Opening * AnnualRate/12). Source: Meiborg_Debt_Schedule_202512.xlsx - Loan 66</t>
      </text>
    </comment>
    <comment ref="E26" authorId="0" shapeId="0">
      <text>
        <t>Principal: MAX(0, MIN(Opening, Payment-Interest)). Source: Meiborg_Debt_Schedule_202512.xlsx - Loan 66</t>
      </text>
    </comment>
    <comment ref="F26" authorId="0" shapeId="0">
      <text>
        <t>Closing: MAX(0, Opening - Principal). Check: must equal next period Opening.</t>
      </text>
    </comment>
    <comment ref="C27" authorId="0" shapeId="0">
      <text>
        <t>Loan: Peapack Capital, AMORTIZING. Source: Meiborg_Debt_Schedule_202512.xlsx - Loan 66</t>
      </text>
    </comment>
    <comment ref="D27" authorId="0" shapeId="0">
      <text>
        <t>Interest: MAX(0, Opening * AnnualRate/12). Source: Meiborg_Debt_Schedule_202512.xlsx - Loan 66</t>
      </text>
    </comment>
    <comment ref="E27" authorId="0" shapeId="0">
      <text>
        <t>Principal: MAX(0, MIN(Opening, Payment-Interest)). Source: Meiborg_Debt_Schedule_202512.xlsx - Loan 66</t>
      </text>
    </comment>
    <comment ref="F27" authorId="0" shapeId="0">
      <text>
        <t>Closing: MAX(0, Opening - Principal). Check: must equal next period Opening.</t>
      </text>
    </comment>
    <comment ref="C28" authorId="0" shapeId="0">
      <text>
        <t>Loan: Peapack Capital, AMORTIZING. Source: Meiborg_Debt_Schedule_202512.xlsx - Loan 66</t>
      </text>
    </comment>
    <comment ref="D28" authorId="0" shapeId="0">
      <text>
        <t>Interest: MAX(0, Opening * AnnualRate/12). Source: Meiborg_Debt_Schedule_202512.xlsx - Loan 66</t>
      </text>
    </comment>
    <comment ref="E28" authorId="0" shapeId="0">
      <text>
        <t>Principal: MAX(0, MIN(Opening, Payment-Interest)). Source: Meiborg_Debt_Schedule_202512.xlsx - Loan 66</t>
      </text>
    </comment>
    <comment ref="F28" authorId="0" shapeId="0">
      <text>
        <t>Closing: MAX(0, Opening - Principal). Check: must equal next period Opening.</t>
      </text>
    </comment>
    <comment ref="C29" authorId="0" shapeId="0">
      <text>
        <t>Loan: Peapack Capital, AMORTIZING. Source: Meiborg_Debt_Schedule_202512.xlsx - Loan 66</t>
      </text>
    </comment>
    <comment ref="D29" authorId="0" shapeId="0">
      <text>
        <t>Interest: MAX(0, Opening * AnnualRate/12). Source: Meiborg_Debt_Schedule_202512.xlsx - Loan 66</t>
      </text>
    </comment>
    <comment ref="E29" authorId="0" shapeId="0">
      <text>
        <t>Principal: MAX(0, MIN(Opening, Payment-Interest)). Source: Meiborg_Debt_Schedule_202512.xlsx - Loan 66</t>
      </text>
    </comment>
    <comment ref="F29" authorId="0" shapeId="0">
      <text>
        <t>Closing: MAX(0, Opening - Principal). Check: must equal next period Opening.</t>
      </text>
    </comment>
    <comment ref="C30" authorId="0" shapeId="0">
      <text>
        <t>Loan: Peapack Capital, AMORTIZING. Source: Meiborg_Debt_Schedule_202512.xlsx - Loan 66</t>
      </text>
    </comment>
    <comment ref="D30" authorId="0" shapeId="0">
      <text>
        <t>Interest: MAX(0, Opening * AnnualRate/12). Source: Meiborg_Debt_Schedule_202512.xlsx - Loan 66</t>
      </text>
    </comment>
    <comment ref="E30" authorId="0" shapeId="0">
      <text>
        <t>Principal: MAX(0, MIN(Opening, Payment-Interest)). Source: Meiborg_Debt_Schedule_202512.xlsx - Loan 66</t>
      </text>
    </comment>
    <comment ref="F30" authorId="0" shapeId="0">
      <text>
        <t>Closing: MAX(0, Opening - Principal). Check: must equal next period Opening.</t>
      </text>
    </comment>
    <comment ref="C31" authorId="0" shapeId="0">
      <text>
        <t>Loan: Peapack Capital, AMORTIZING. Source: Meiborg_Debt_Schedule_202512.xlsx - Loan 66</t>
      </text>
    </comment>
    <comment ref="D31" authorId="0" shapeId="0">
      <text>
        <t>Interest: MAX(0, Opening * AnnualRate/12). Source: Meiborg_Debt_Schedule_202512.xlsx - Loan 66</t>
      </text>
    </comment>
    <comment ref="E31" authorId="0" shapeId="0">
      <text>
        <t>Principal: MAX(0, MIN(Opening, Payment-Interest)). Source: Meiborg_Debt_Schedule_202512.xlsx - Loan 66</t>
      </text>
    </comment>
    <comment ref="F31" authorId="0" shapeId="0">
      <text>
        <t>Closing: MAX(0, Opening - Principal). Check: must equal next period Opening.</t>
      </text>
    </comment>
    <comment ref="C32" authorId="0" shapeId="0">
      <text>
        <t>Loan: Peapack Capital, AMORTIZING. Source: Meiborg_Debt_Schedule_202512.xlsx - Loan 66</t>
      </text>
    </comment>
    <comment ref="D32" authorId="0" shapeId="0">
      <text>
        <t>Interest: MAX(0, Opening * AnnualRate/12). Source: Meiborg_Debt_Schedule_202512.xlsx - Loan 66</t>
      </text>
    </comment>
    <comment ref="E32" authorId="0" shapeId="0">
      <text>
        <t>Principal: MAX(0, MIN(Opening, Payment-Interest)). Source: Meiborg_Debt_Schedule_202512.xlsx - Loan 66</t>
      </text>
    </comment>
    <comment ref="F32" authorId="0" shapeId="0">
      <text>
        <t>Closing: MAX(0, Opening - Principal). Check: must equal next period Opening.</t>
      </text>
    </comment>
    <comment ref="C33" authorId="0" shapeId="0">
      <text>
        <t>Loan: Peapack Capital, AMORTIZING. Source: Meiborg_Debt_Schedule_202512.xlsx - Loan 66</t>
      </text>
    </comment>
    <comment ref="D33" authorId="0" shapeId="0">
      <text>
        <t>Interest: MAX(0, Opening * AnnualRate/12). Source: Meiborg_Debt_Schedule_202512.xlsx - Loan 66</t>
      </text>
    </comment>
    <comment ref="E33" authorId="0" shapeId="0">
      <text>
        <t>Principal: MAX(0, MIN(Opening, Payment-Interest)). Source: Meiborg_Debt_Schedule_202512.xlsx - Loan 66</t>
      </text>
    </comment>
    <comment ref="F33" authorId="0" shapeId="0">
      <text>
        <t>Closing: MAX(0, Opening - Principal). Check: must equal next period Opening.</t>
      </text>
    </comment>
    <comment ref="C34" authorId="0" shapeId="0">
      <text>
        <t>Loan: Peapack Capital, AMORTIZING. Source: Meiborg_Debt_Schedule_202512.xlsx - Loan 66</t>
      </text>
    </comment>
    <comment ref="D34" authorId="0" shapeId="0">
      <text>
        <t>Interest: MAX(0, Opening * AnnualRate/12). Source: Meiborg_Debt_Schedule_202512.xlsx - Loan 66</t>
      </text>
    </comment>
    <comment ref="E34" authorId="0" shapeId="0">
      <text>
        <t>Principal: MAX(0, MIN(Opening, Payment-Interest)). Source: Meiborg_Debt_Schedule_202512.xlsx - Loan 66</t>
      </text>
    </comment>
    <comment ref="F34" authorId="0" shapeId="0">
      <text>
        <t>Closing: MAX(0, Opening - Principal). Check: must equal next period Opening.</t>
      </text>
    </comment>
    <comment ref="C35" authorId="0" shapeId="0">
      <text>
        <t>Loan: Peapack Capital, AMORTIZING. Source: Meiborg_Debt_Schedule_202512.xlsx - Loan 66</t>
      </text>
    </comment>
    <comment ref="D35" authorId="0" shapeId="0">
      <text>
        <t>Interest: MAX(0, Opening * AnnualRate/12). Source: Meiborg_Debt_Schedule_202512.xlsx - Loan 66</t>
      </text>
    </comment>
    <comment ref="E35" authorId="0" shapeId="0">
      <text>
        <t>Principal: MAX(0, MIN(Opening, Payment-Interest)). Source: Meiborg_Debt_Schedule_202512.xlsx - Loan 66</t>
      </text>
    </comment>
    <comment ref="F35" authorId="0" shapeId="0">
      <text>
        <t>Closing: MAX(0, Opening - Principal). Check: must equal next period Opening.</t>
      </text>
    </comment>
    <comment ref="C36" authorId="0" shapeId="0">
      <text>
        <t>Loan: Peapack Capital, AMORTIZING. Source: Meiborg_Debt_Schedule_202512.xlsx - Loan 66</t>
      </text>
    </comment>
    <comment ref="D36" authorId="0" shapeId="0">
      <text>
        <t>Interest: MAX(0, Opening * AnnualRate/12). Source: Meiborg_Debt_Schedule_202512.xlsx - Loan 66</t>
      </text>
    </comment>
    <comment ref="E36" authorId="0" shapeId="0">
      <text>
        <t>Principal: MAX(0, MIN(Opening, Payment-Interest)). Source: Meiborg_Debt_Schedule_202512.xlsx - Loan 66</t>
      </text>
    </comment>
    <comment ref="F36" authorId="0" shapeId="0">
      <text>
        <t>Closing: MAX(0, Opening - Principal). Check: must equal next period Opening.</t>
      </text>
    </comment>
    <comment ref="C37" authorId="0" shapeId="0">
      <text>
        <t>Loan: Peapack Capital, AMORTIZING. Source: Meiborg_Debt_Schedule_202512.xlsx - Loan 66</t>
      </text>
    </comment>
    <comment ref="D37" authorId="0" shapeId="0">
      <text>
        <t>Interest: MAX(0, Opening * AnnualRate/12). Source: Meiborg_Debt_Schedule_202512.xlsx - Loan 66</t>
      </text>
    </comment>
    <comment ref="E37" authorId="0" shapeId="0">
      <text>
        <t>Principal: MAX(0, MIN(Opening, Payment-Interest)). Source: Meiborg_Debt_Schedule_202512.xlsx - Loan 66</t>
      </text>
    </comment>
    <comment ref="F37" authorId="0" shapeId="0">
      <text>
        <t>Closing: MAX(0, Opening - Principal). Check: must equal next period Opening.</t>
      </text>
    </comment>
    <comment ref="C38" authorId="0" shapeId="0">
      <text>
        <t>Loan: Peapack Capital, AMORTIZING. Source: Meiborg_Debt_Schedule_202512.xlsx - Loan 66</t>
      </text>
    </comment>
    <comment ref="D38" authorId="0" shapeId="0">
      <text>
        <t>Interest: MAX(0, Opening * AnnualRate/12). Source: Meiborg_Debt_Schedule_202512.xlsx - Loan 66</t>
      </text>
    </comment>
    <comment ref="E38" authorId="0" shapeId="0">
      <text>
        <t>Principal: MAX(0, MIN(Opening, Payment-Interest)). Source: Meiborg_Debt_Schedule_202512.xlsx - Loan 66</t>
      </text>
    </comment>
    <comment ref="F38" authorId="0" shapeId="0">
      <text>
        <t>Closing: MAX(0, Opening - Principal). Check: must equal next period Opening.</t>
      </text>
    </comment>
    <comment ref="C39" authorId="0" shapeId="0">
      <text>
        <t>Loan: Peapack Capital, AMORTIZING. Source: Meiborg_Debt_Schedule_202512.xlsx - Loan 66</t>
      </text>
    </comment>
    <comment ref="D39" authorId="0" shapeId="0">
      <text>
        <t>Interest: MAX(0, Opening * AnnualRate/12). Source: Meiborg_Debt_Schedule_202512.xlsx - Loan 66</t>
      </text>
    </comment>
    <comment ref="E39" authorId="0" shapeId="0">
      <text>
        <t>Principal: MAX(0, MIN(Opening, Payment-Interest)). Source: Meiborg_Debt_Schedule_202512.xlsx - Loan 66</t>
      </text>
    </comment>
    <comment ref="F39" authorId="0" shapeId="0">
      <text>
        <t>Closing: MAX(0, Opening - Principal). Check: must equal next period Opening.</t>
      </text>
    </comment>
    <comment ref="C40" authorId="0" shapeId="0">
      <text>
        <t>Loan: Peapack Capital, AMORTIZING. Source: Meiborg_Debt_Schedule_202512.xlsx - Loan 66</t>
      </text>
    </comment>
    <comment ref="D40" authorId="0" shapeId="0">
      <text>
        <t>Interest: MAX(0, Opening * AnnualRate/12). Source: Meiborg_Debt_Schedule_202512.xlsx - Loan 66</t>
      </text>
    </comment>
    <comment ref="E40" authorId="0" shapeId="0">
      <text>
        <t>Principal: MAX(0, MIN(Opening, Payment-Interest)). Source: Meiborg_Debt_Schedule_202512.xlsx - Loan 66</t>
      </text>
    </comment>
    <comment ref="F40" authorId="0" shapeId="0">
      <text>
        <t>Closing: MAX(0, Opening - Principal). Check: must equal next period Opening.</t>
      </text>
    </comment>
    <comment ref="C41" authorId="0" shapeId="0">
      <text>
        <t>Loan: Peapack Capital, AMORTIZING. Source: Meiborg_Debt_Schedule_202512.xlsx - Loan 66</t>
      </text>
    </comment>
    <comment ref="D41" authorId="0" shapeId="0">
      <text>
        <t>Interest: MAX(0, Opening * AnnualRate/12). Source: Meiborg_Debt_Schedule_202512.xlsx - Loan 66</t>
      </text>
    </comment>
    <comment ref="E41" authorId="0" shapeId="0">
      <text>
        <t>Principal: MAX(0, MIN(Opening, Payment-Interest)). Source: Meiborg_Debt_Schedule_202512.xlsx - Loan 66</t>
      </text>
    </comment>
    <comment ref="F41" authorId="0" shapeId="0">
      <text>
        <t>Closing: MAX(0, Opening - Principal). Check: must equal next period Opening.</t>
      </text>
    </comment>
    <comment ref="C42" authorId="0" shapeId="0">
      <text>
        <t>Loan: Peapack Capital, AMORTIZING. Source: Meiborg_Debt_Schedule_202512.xlsx - Loan 66</t>
      </text>
    </comment>
    <comment ref="D42" authorId="0" shapeId="0">
      <text>
        <t>Interest: MAX(0, Opening * AnnualRate/12). Source: Meiborg_Debt_Schedule_202512.xlsx - Loan 66</t>
      </text>
    </comment>
    <comment ref="E42" authorId="0" shapeId="0">
      <text>
        <t>Principal: MAX(0, MIN(Opening, Payment-Interest)). Source: Meiborg_Debt_Schedule_202512.xlsx - Loan 66</t>
      </text>
    </comment>
    <comment ref="F42" authorId="0" shapeId="0">
      <text>
        <t>Closing: MAX(0, Opening - Principal). Check: must equal next period Opening.</t>
      </text>
    </comment>
    <comment ref="C47" authorId="0" shapeId="0">
      <text>
        <t>Sum of rows 23-34: Monthly interest payments</t>
      </text>
    </comment>
    <comment ref="D47" authorId="0" shapeId="0">
      <text>
        <t>Sum of rows 23-34: Monthly principal payments</t>
      </text>
    </comment>
    <comment ref="E47" authorId="0" shapeId="0">
      <text>
        <t>Links to: row 34 - Closing Balance for Dec 2026</t>
      </text>
    </comment>
    <comment ref="C48" authorId="0" shapeId="0">
      <text>
        <t>Sum of rows 35-42: Monthly interest payments</t>
      </text>
    </comment>
    <comment ref="D48" authorId="0" shapeId="0">
      <text>
        <t>Sum of rows 35-42: Monthly principal payments</t>
      </text>
    </comment>
    <comment ref="E48" authorId="0" shapeId="0">
      <text>
        <t>Links to: row 42 - Closing Balance for Dec 2027</t>
      </text>
    </comment>
    <comment ref="B52" authorId="0" shapeId="0">
      <text>
        <t>Links to: row 8 - Current Balance as of 12/31/2025. For Debt Schedule linking.</t>
      </text>
    </comment>
  </commentList>
</comments>
</file>

<file path=xl/comments/comment41.xml><?xml version="1.0" encoding="utf-8"?>
<comments xmlns="http://schemas.openxmlformats.org/spreadsheetml/2006/main">
  <authors>
    <author>Model Builder</author>
  </authors>
  <commentList>
    <comment ref="B7" authorId="0" shapeId="0">
      <text>
        <t>Source: Meiborg_Debt_Schedule_202512.xlsx - Loan 67
Extracted: 2025-12-31</t>
      </text>
    </comment>
    <comment ref="B8" authorId="0" shapeId="0">
      <text>
        <t>Source: Meiborg_Debt_Schedule_202512.xlsx - Loan 67
Extracted: 2025-12-31</t>
      </text>
    </comment>
    <comment ref="B9" authorId="0" shapeId="0">
      <text>
        <t>Loan: Peapack Capital, AMORTIZING. Source: Meiborg_Debt_Schedule_202512.xlsx - Loan 67</t>
      </text>
    </comment>
    <comment ref="B10" authorId="0" shapeId="0">
      <text>
        <t>Fixed monthly payment. Source: Meiborg_Debt_Schedule_202512.xlsx - Loan 67</t>
      </text>
    </comment>
    <comment ref="C23" authorId="0" shapeId="0">
      <text>
        <t>Loan: Peapack Capital, AMORTIZING. Source: Meiborg_Debt_Schedule_202512.xlsx - Loan 67</t>
      </text>
    </comment>
    <comment ref="D23" authorId="0" shapeId="0">
      <text>
        <t>Interest: MAX(0, Opening * AnnualRate/12). Source: Meiborg_Debt_Schedule_202512.xlsx - Loan 67</t>
      </text>
    </comment>
    <comment ref="E23" authorId="0" shapeId="0">
      <text>
        <t>Principal: MAX(0, MIN(Opening, Payment-Interest)). Source: Meiborg_Debt_Schedule_202512.xlsx - Loan 67</t>
      </text>
    </comment>
    <comment ref="F23" authorId="0" shapeId="0">
      <text>
        <t>Closing: MAX(0, Opening - Principal). Check: must equal next period Opening.</t>
      </text>
    </comment>
    <comment ref="C24" authorId="0" shapeId="0">
      <text>
        <t>Loan: Peapack Capital, AMORTIZING. Source: Meiborg_Debt_Schedule_202512.xlsx - Loan 67</t>
      </text>
    </comment>
    <comment ref="D24" authorId="0" shapeId="0">
      <text>
        <t>Interest: MAX(0, Opening * AnnualRate/12). Source: Meiborg_Debt_Schedule_202512.xlsx - Loan 67</t>
      </text>
    </comment>
    <comment ref="E24" authorId="0" shapeId="0">
      <text>
        <t>Principal: MAX(0, MIN(Opening, Payment-Interest)). Source: Meiborg_Debt_Schedule_202512.xlsx - Loan 67</t>
      </text>
    </comment>
    <comment ref="F24" authorId="0" shapeId="0">
      <text>
        <t>Closing: MAX(0, Opening - Principal). Check: must equal next period Opening.</t>
      </text>
    </comment>
    <comment ref="C25" authorId="0" shapeId="0">
      <text>
        <t>Loan: Peapack Capital, AMORTIZING. Source: Meiborg_Debt_Schedule_202512.xlsx - Loan 67</t>
      </text>
    </comment>
    <comment ref="D25" authorId="0" shapeId="0">
      <text>
        <t>Interest: MAX(0, Opening * AnnualRate/12). Source: Meiborg_Debt_Schedule_202512.xlsx - Loan 67</t>
      </text>
    </comment>
    <comment ref="E25" authorId="0" shapeId="0">
      <text>
        <t>Principal: MAX(0, MIN(Opening, Payment-Interest)). Source: Meiborg_Debt_Schedule_202512.xlsx - Loan 67</t>
      </text>
    </comment>
    <comment ref="F25" authorId="0" shapeId="0">
      <text>
        <t>Closing: MAX(0, Opening - Principal). Check: must equal next period Opening.</t>
      </text>
    </comment>
    <comment ref="C26" authorId="0" shapeId="0">
      <text>
        <t>Loan: Peapack Capital, AMORTIZING. Source: Meiborg_Debt_Schedule_202512.xlsx - Loan 67</t>
      </text>
    </comment>
    <comment ref="D26" authorId="0" shapeId="0">
      <text>
        <t>Interest: MAX(0, Opening * AnnualRate/12). Source: Meiborg_Debt_Schedule_202512.xlsx - Loan 67</t>
      </text>
    </comment>
    <comment ref="E26" authorId="0" shapeId="0">
      <text>
        <t>Principal: MAX(0, MIN(Opening, Payment-Interest)). Source: Meiborg_Debt_Schedule_202512.xlsx - Loan 67</t>
      </text>
    </comment>
    <comment ref="F26" authorId="0" shapeId="0">
      <text>
        <t>Closing: MAX(0, Opening - Principal). Check: must equal next period Opening.</t>
      </text>
    </comment>
    <comment ref="C27" authorId="0" shapeId="0">
      <text>
        <t>Loan: Peapack Capital, AMORTIZING. Source: Meiborg_Debt_Schedule_202512.xlsx - Loan 67</t>
      </text>
    </comment>
    <comment ref="D27" authorId="0" shapeId="0">
      <text>
        <t>Interest: MAX(0, Opening * AnnualRate/12). Source: Meiborg_Debt_Schedule_202512.xlsx - Loan 67</t>
      </text>
    </comment>
    <comment ref="E27" authorId="0" shapeId="0">
      <text>
        <t>Principal: MAX(0, MIN(Opening, Payment-Interest)). Source: Meiborg_Debt_Schedule_202512.xlsx - Loan 67</t>
      </text>
    </comment>
    <comment ref="F27" authorId="0" shapeId="0">
      <text>
        <t>Closing: MAX(0, Opening - Principal). Check: must equal next period Opening.</t>
      </text>
    </comment>
    <comment ref="C28" authorId="0" shapeId="0">
      <text>
        <t>Loan: Peapack Capital, AMORTIZING. Source: Meiborg_Debt_Schedule_202512.xlsx - Loan 67</t>
      </text>
    </comment>
    <comment ref="D28" authorId="0" shapeId="0">
      <text>
        <t>Interest: MAX(0, Opening * AnnualRate/12). Source: Meiborg_Debt_Schedule_202512.xlsx - Loan 67</t>
      </text>
    </comment>
    <comment ref="E28" authorId="0" shapeId="0">
      <text>
        <t>Principal: MAX(0, MIN(Opening, Payment-Interest)). Source: Meiborg_Debt_Schedule_202512.xlsx - Loan 67</t>
      </text>
    </comment>
    <comment ref="F28" authorId="0" shapeId="0">
      <text>
        <t>Closing: MAX(0, Opening - Principal). Check: must equal next period Opening.</t>
      </text>
    </comment>
    <comment ref="C29" authorId="0" shapeId="0">
      <text>
        <t>Loan: Peapack Capital, AMORTIZING. Source: Meiborg_Debt_Schedule_202512.xlsx - Loan 67</t>
      </text>
    </comment>
    <comment ref="D29" authorId="0" shapeId="0">
      <text>
        <t>Interest: MAX(0, Opening * AnnualRate/12). Source: Meiborg_Debt_Schedule_202512.xlsx - Loan 67</t>
      </text>
    </comment>
    <comment ref="E29" authorId="0" shapeId="0">
      <text>
        <t>Principal: MAX(0, MIN(Opening, Payment-Interest)). Source: Meiborg_Debt_Schedule_202512.xlsx - Loan 67</t>
      </text>
    </comment>
    <comment ref="F29" authorId="0" shapeId="0">
      <text>
        <t>Closing: MAX(0, Opening - Principal). Check: must equal next period Opening.</t>
      </text>
    </comment>
    <comment ref="C30" authorId="0" shapeId="0">
      <text>
        <t>Loan: Peapack Capital, AMORTIZING. Source: Meiborg_Debt_Schedule_202512.xlsx - Loan 67</t>
      </text>
    </comment>
    <comment ref="D30" authorId="0" shapeId="0">
      <text>
        <t>Interest: MAX(0, Opening * AnnualRate/12). Source: Meiborg_Debt_Schedule_202512.xlsx - Loan 67</t>
      </text>
    </comment>
    <comment ref="E30" authorId="0" shapeId="0">
      <text>
        <t>Principal: MAX(0, MIN(Opening, Payment-Interest)). Source: Meiborg_Debt_Schedule_202512.xlsx - Loan 67</t>
      </text>
    </comment>
    <comment ref="F30" authorId="0" shapeId="0">
      <text>
        <t>Closing: MAX(0, Opening - Principal). Check: must equal next period Opening.</t>
      </text>
    </comment>
    <comment ref="C31" authorId="0" shapeId="0">
      <text>
        <t>Loan: Peapack Capital, AMORTIZING. Source: Meiborg_Debt_Schedule_202512.xlsx - Loan 67</t>
      </text>
    </comment>
    <comment ref="D31" authorId="0" shapeId="0">
      <text>
        <t>Interest: MAX(0, Opening * AnnualRate/12). Source: Meiborg_Debt_Schedule_202512.xlsx - Loan 67</t>
      </text>
    </comment>
    <comment ref="E31" authorId="0" shapeId="0">
      <text>
        <t>Principal: MAX(0, MIN(Opening, Payment-Interest)). Source: Meiborg_Debt_Schedule_202512.xlsx - Loan 67</t>
      </text>
    </comment>
    <comment ref="F31" authorId="0" shapeId="0">
      <text>
        <t>Closing: MAX(0, Opening - Principal). Check: must equal next period Opening.</t>
      </text>
    </comment>
    <comment ref="C32" authorId="0" shapeId="0">
      <text>
        <t>Loan: Peapack Capital, AMORTIZING. Source: Meiborg_Debt_Schedule_202512.xlsx - Loan 67</t>
      </text>
    </comment>
    <comment ref="D32" authorId="0" shapeId="0">
      <text>
        <t>Interest: MAX(0, Opening * AnnualRate/12). Source: Meiborg_Debt_Schedule_202512.xlsx - Loan 67</t>
      </text>
    </comment>
    <comment ref="E32" authorId="0" shapeId="0">
      <text>
        <t>Principal: MAX(0, MIN(Opening, Payment-Interest)). Source: Meiborg_Debt_Schedule_202512.xlsx - Loan 67</t>
      </text>
    </comment>
    <comment ref="F32" authorId="0" shapeId="0">
      <text>
        <t>Closing: MAX(0, Opening - Principal). Check: must equal next period Opening.</t>
      </text>
    </comment>
    <comment ref="C33" authorId="0" shapeId="0">
      <text>
        <t>Loan: Peapack Capital, AMORTIZING. Source: Meiborg_Debt_Schedule_202512.xlsx - Loan 67</t>
      </text>
    </comment>
    <comment ref="D33" authorId="0" shapeId="0">
      <text>
        <t>Interest: MAX(0, Opening * AnnualRate/12). Source: Meiborg_Debt_Schedule_202512.xlsx - Loan 67</t>
      </text>
    </comment>
    <comment ref="E33" authorId="0" shapeId="0">
      <text>
        <t>Principal: MAX(0, MIN(Opening, Payment-Interest)). Source: Meiborg_Debt_Schedule_202512.xlsx - Loan 67</t>
      </text>
    </comment>
    <comment ref="F33" authorId="0" shapeId="0">
      <text>
        <t>Closing: MAX(0, Opening - Principal). Check: must equal next period Opening.</t>
      </text>
    </comment>
    <comment ref="C34" authorId="0" shapeId="0">
      <text>
        <t>Loan: Peapack Capital, AMORTIZING. Source: Meiborg_Debt_Schedule_202512.xlsx - Loan 67</t>
      </text>
    </comment>
    <comment ref="D34" authorId="0" shapeId="0">
      <text>
        <t>Interest: MAX(0, Opening * AnnualRate/12). Source: Meiborg_Debt_Schedule_202512.xlsx - Loan 67</t>
      </text>
    </comment>
    <comment ref="E34" authorId="0" shapeId="0">
      <text>
        <t>Principal: MAX(0, MIN(Opening, Payment-Interest)). Source: Meiborg_Debt_Schedule_202512.xlsx - Loan 67</t>
      </text>
    </comment>
    <comment ref="F34" authorId="0" shapeId="0">
      <text>
        <t>Closing: MAX(0, Opening - Principal). Check: must equal next period Opening.</t>
      </text>
    </comment>
    <comment ref="C35" authorId="0" shapeId="0">
      <text>
        <t>Loan: Peapack Capital, AMORTIZING. Source: Meiborg_Debt_Schedule_202512.xlsx - Loan 67</t>
      </text>
    </comment>
    <comment ref="D35" authorId="0" shapeId="0">
      <text>
        <t>Interest: MAX(0, Opening * AnnualRate/12). Source: Meiborg_Debt_Schedule_202512.xlsx - Loan 67</t>
      </text>
    </comment>
    <comment ref="E35" authorId="0" shapeId="0">
      <text>
        <t>Principal: MAX(0, MIN(Opening, Payment-Interest)). Source: Meiborg_Debt_Schedule_202512.xlsx - Loan 67</t>
      </text>
    </comment>
    <comment ref="F35" authorId="0" shapeId="0">
      <text>
        <t>Closing: MAX(0, Opening - Principal). Check: must equal next period Opening.</t>
      </text>
    </comment>
    <comment ref="C36" authorId="0" shapeId="0">
      <text>
        <t>Loan: Peapack Capital, AMORTIZING. Source: Meiborg_Debt_Schedule_202512.xlsx - Loan 67</t>
      </text>
    </comment>
    <comment ref="D36" authorId="0" shapeId="0">
      <text>
        <t>Interest: MAX(0, Opening * AnnualRate/12). Source: Meiborg_Debt_Schedule_202512.xlsx - Loan 67</t>
      </text>
    </comment>
    <comment ref="E36" authorId="0" shapeId="0">
      <text>
        <t>Principal: MAX(0, MIN(Opening, Payment-Interest)). Source: Meiborg_Debt_Schedule_202512.xlsx - Loan 67</t>
      </text>
    </comment>
    <comment ref="F36" authorId="0" shapeId="0">
      <text>
        <t>Closing: MAX(0, Opening - Principal). Check: must equal next period Opening.</t>
      </text>
    </comment>
    <comment ref="C37" authorId="0" shapeId="0">
      <text>
        <t>Loan: Peapack Capital, AMORTIZING. Source: Meiborg_Debt_Schedule_202512.xlsx - Loan 67</t>
      </text>
    </comment>
    <comment ref="D37" authorId="0" shapeId="0">
      <text>
        <t>Interest: MAX(0, Opening * AnnualRate/12). Source: Meiborg_Debt_Schedule_202512.xlsx - Loan 67</t>
      </text>
    </comment>
    <comment ref="E37" authorId="0" shapeId="0">
      <text>
        <t>Principal: MAX(0, MIN(Opening, Payment-Interest)). Source: Meiborg_Debt_Schedule_202512.xlsx - Loan 67</t>
      </text>
    </comment>
    <comment ref="F37" authorId="0" shapeId="0">
      <text>
        <t>Closing: MAX(0, Opening - Principal). Check: must equal next period Opening.</t>
      </text>
    </comment>
    <comment ref="C38" authorId="0" shapeId="0">
      <text>
        <t>Loan: Peapack Capital, AMORTIZING. Source: Meiborg_Debt_Schedule_202512.xlsx - Loan 67</t>
      </text>
    </comment>
    <comment ref="D38" authorId="0" shapeId="0">
      <text>
        <t>Interest: MAX(0, Opening * AnnualRate/12). Source: Meiborg_Debt_Schedule_202512.xlsx - Loan 67</t>
      </text>
    </comment>
    <comment ref="E38" authorId="0" shapeId="0">
      <text>
        <t>Principal: MAX(0, MIN(Opening, Payment-Interest)). Source: Meiborg_Debt_Schedule_202512.xlsx - Loan 67</t>
      </text>
    </comment>
    <comment ref="F38" authorId="0" shapeId="0">
      <text>
        <t>Closing: MAX(0, Opening - Principal). Check: must equal next period Opening.</t>
      </text>
    </comment>
    <comment ref="C39" authorId="0" shapeId="0">
      <text>
        <t>Loan: Peapack Capital, AMORTIZING. Source: Meiborg_Debt_Schedule_202512.xlsx - Loan 67</t>
      </text>
    </comment>
    <comment ref="D39" authorId="0" shapeId="0">
      <text>
        <t>Interest: MAX(0, Opening * AnnualRate/12). Source: Meiborg_Debt_Schedule_202512.xlsx - Loan 67</t>
      </text>
    </comment>
    <comment ref="E39" authorId="0" shapeId="0">
      <text>
        <t>Principal: MAX(0, MIN(Opening, Payment-Interest)). Source: Meiborg_Debt_Schedule_202512.xlsx - Loan 67</t>
      </text>
    </comment>
    <comment ref="F39" authorId="0" shapeId="0">
      <text>
        <t>Closing: MAX(0, Opening - Principal). Check: must equal next period Opening.</t>
      </text>
    </comment>
    <comment ref="C44" authorId="0" shapeId="0">
      <text>
        <t>Sum of rows 23-34: Monthly interest payments</t>
      </text>
    </comment>
    <comment ref="D44" authorId="0" shapeId="0">
      <text>
        <t>Sum of rows 23-34: Monthly principal payments</t>
      </text>
    </comment>
    <comment ref="E44" authorId="0" shapeId="0">
      <text>
        <t>Links to: row 34 - Closing Balance for Dec 2026</t>
      </text>
    </comment>
    <comment ref="C45" authorId="0" shapeId="0">
      <text>
        <t>Sum of rows 35-39: Monthly interest payments</t>
      </text>
    </comment>
    <comment ref="D45" authorId="0" shapeId="0">
      <text>
        <t>Sum of rows 35-39: Monthly principal payments</t>
      </text>
    </comment>
    <comment ref="E45" authorId="0" shapeId="0">
      <text>
        <t>Links to: row 39 - Closing Balance for Dec 2027</t>
      </text>
    </comment>
    <comment ref="B49" authorId="0" shapeId="0">
      <text>
        <t>Links to: row 8 - Current Balance as of 12/31/2025. For Debt Schedule linking.</t>
      </text>
    </comment>
  </commentList>
</comments>
</file>

<file path=xl/comments/comment42.xml><?xml version="1.0" encoding="utf-8"?>
<comments xmlns="http://schemas.openxmlformats.org/spreadsheetml/2006/main">
  <authors>
    <author>Model Builder</author>
  </authors>
  <commentList>
    <comment ref="B7" authorId="0" shapeId="0">
      <text>
        <t>Source: Meiborg_Debt_Schedule_202512.xlsx - Loan 68
Extracted: 2025-12-31</t>
      </text>
    </comment>
    <comment ref="B8" authorId="0" shapeId="0">
      <text>
        <t>Source: Meiborg_Debt_Schedule_202512.xlsx - Loan 68
Extracted: 2025-12-31</t>
      </text>
    </comment>
    <comment ref="B9" authorId="0" shapeId="0">
      <text>
        <t>Loan: Peapack Capital, AMORTIZING. Source: Meiborg_Debt_Schedule_202512.xlsx - Loan 68</t>
      </text>
    </comment>
    <comment ref="B10" authorId="0" shapeId="0">
      <text>
        <t>Fixed monthly payment. Source: Meiborg_Debt_Schedule_202512.xlsx - Loan 68</t>
      </text>
    </comment>
    <comment ref="C23" authorId="0" shapeId="0">
      <text>
        <t>Loan: Peapack Capital, AMORTIZING. Source: Meiborg_Debt_Schedule_202512.xlsx - Loan 68</t>
      </text>
    </comment>
    <comment ref="D23" authorId="0" shapeId="0">
      <text>
        <t>Interest: MAX(0, Opening * AnnualRate/12). Source: Meiborg_Debt_Schedule_202512.xlsx - Loan 68</t>
      </text>
    </comment>
    <comment ref="E23" authorId="0" shapeId="0">
      <text>
        <t>Principal: MAX(0, MIN(Opening, Payment-Interest)). Source: Meiborg_Debt_Schedule_202512.xlsx - Loan 68</t>
      </text>
    </comment>
    <comment ref="F23" authorId="0" shapeId="0">
      <text>
        <t>Closing: MAX(0, Opening - Principal). Check: must equal next period Opening.</t>
      </text>
    </comment>
    <comment ref="C24" authorId="0" shapeId="0">
      <text>
        <t>Loan: Peapack Capital, AMORTIZING. Source: Meiborg_Debt_Schedule_202512.xlsx - Loan 68</t>
      </text>
    </comment>
    <comment ref="D24" authorId="0" shapeId="0">
      <text>
        <t>Interest: MAX(0, Opening * AnnualRate/12). Source: Meiborg_Debt_Schedule_202512.xlsx - Loan 68</t>
      </text>
    </comment>
    <comment ref="E24" authorId="0" shapeId="0">
      <text>
        <t>Principal: MAX(0, MIN(Opening, Payment-Interest)). Source: Meiborg_Debt_Schedule_202512.xlsx - Loan 68</t>
      </text>
    </comment>
    <comment ref="F24" authorId="0" shapeId="0">
      <text>
        <t>Closing: MAX(0, Opening - Principal). Check: must equal next period Opening.</t>
      </text>
    </comment>
    <comment ref="C25" authorId="0" shapeId="0">
      <text>
        <t>Loan: Peapack Capital, AMORTIZING. Source: Meiborg_Debt_Schedule_202512.xlsx - Loan 68</t>
      </text>
    </comment>
    <comment ref="D25" authorId="0" shapeId="0">
      <text>
        <t>Interest: MAX(0, Opening * AnnualRate/12). Source: Meiborg_Debt_Schedule_202512.xlsx - Loan 68</t>
      </text>
    </comment>
    <comment ref="E25" authorId="0" shapeId="0">
      <text>
        <t>Principal: MAX(0, MIN(Opening, Payment-Interest)). Source: Meiborg_Debt_Schedule_202512.xlsx - Loan 68</t>
      </text>
    </comment>
    <comment ref="F25" authorId="0" shapeId="0">
      <text>
        <t>Closing: MAX(0, Opening - Principal). Check: must equal next period Opening.</t>
      </text>
    </comment>
    <comment ref="C26" authorId="0" shapeId="0">
      <text>
        <t>Loan: Peapack Capital, AMORTIZING. Source: Meiborg_Debt_Schedule_202512.xlsx - Loan 68</t>
      </text>
    </comment>
    <comment ref="D26" authorId="0" shapeId="0">
      <text>
        <t>Interest: MAX(0, Opening * AnnualRate/12). Source: Meiborg_Debt_Schedule_202512.xlsx - Loan 68</t>
      </text>
    </comment>
    <comment ref="E26" authorId="0" shapeId="0">
      <text>
        <t>Principal: MAX(0, MIN(Opening, Payment-Interest)). Source: Meiborg_Debt_Schedule_202512.xlsx - Loan 68</t>
      </text>
    </comment>
    <comment ref="F26" authorId="0" shapeId="0">
      <text>
        <t>Closing: MAX(0, Opening - Principal). Check: must equal next period Opening.</t>
      </text>
    </comment>
    <comment ref="C27" authorId="0" shapeId="0">
      <text>
        <t>Loan: Peapack Capital, AMORTIZING. Source: Meiborg_Debt_Schedule_202512.xlsx - Loan 68</t>
      </text>
    </comment>
    <comment ref="D27" authorId="0" shapeId="0">
      <text>
        <t>Interest: MAX(0, Opening * AnnualRate/12). Source: Meiborg_Debt_Schedule_202512.xlsx - Loan 68</t>
      </text>
    </comment>
    <comment ref="E27" authorId="0" shapeId="0">
      <text>
        <t>Principal: MAX(0, MIN(Opening, Payment-Interest)). Source: Meiborg_Debt_Schedule_202512.xlsx - Loan 68</t>
      </text>
    </comment>
    <comment ref="F27" authorId="0" shapeId="0">
      <text>
        <t>Closing: MAX(0, Opening - Principal). Check: must equal next period Opening.</t>
      </text>
    </comment>
    <comment ref="C28" authorId="0" shapeId="0">
      <text>
        <t>Loan: Peapack Capital, AMORTIZING. Source: Meiborg_Debt_Schedule_202512.xlsx - Loan 68</t>
      </text>
    </comment>
    <comment ref="D28" authorId="0" shapeId="0">
      <text>
        <t>Interest: MAX(0, Opening * AnnualRate/12). Source: Meiborg_Debt_Schedule_202512.xlsx - Loan 68</t>
      </text>
    </comment>
    <comment ref="E28" authorId="0" shapeId="0">
      <text>
        <t>Principal: MAX(0, MIN(Opening, Payment-Interest)). Source: Meiborg_Debt_Schedule_202512.xlsx - Loan 68</t>
      </text>
    </comment>
    <comment ref="F28" authorId="0" shapeId="0">
      <text>
        <t>Closing: MAX(0, Opening - Principal). Check: must equal next period Opening.</t>
      </text>
    </comment>
    <comment ref="C29" authorId="0" shapeId="0">
      <text>
        <t>Loan: Peapack Capital, AMORTIZING. Source: Meiborg_Debt_Schedule_202512.xlsx - Loan 68</t>
      </text>
    </comment>
    <comment ref="D29" authorId="0" shapeId="0">
      <text>
        <t>Interest: MAX(0, Opening * AnnualRate/12). Source: Meiborg_Debt_Schedule_202512.xlsx - Loan 68</t>
      </text>
    </comment>
    <comment ref="E29" authorId="0" shapeId="0">
      <text>
        <t>Principal: MAX(0, MIN(Opening, Payment-Interest)). Source: Meiborg_Debt_Schedule_202512.xlsx - Loan 68</t>
      </text>
    </comment>
    <comment ref="F29" authorId="0" shapeId="0">
      <text>
        <t>Closing: MAX(0, Opening - Principal). Check: must equal next period Opening.</t>
      </text>
    </comment>
    <comment ref="C30" authorId="0" shapeId="0">
      <text>
        <t>Loan: Peapack Capital, AMORTIZING. Source: Meiborg_Debt_Schedule_202512.xlsx - Loan 68</t>
      </text>
    </comment>
    <comment ref="D30" authorId="0" shapeId="0">
      <text>
        <t>Interest: MAX(0, Opening * AnnualRate/12). Source: Meiborg_Debt_Schedule_202512.xlsx - Loan 68</t>
      </text>
    </comment>
    <comment ref="E30" authorId="0" shapeId="0">
      <text>
        <t>Principal: MAX(0, MIN(Opening, Payment-Interest)). Source: Meiborg_Debt_Schedule_202512.xlsx - Loan 68</t>
      </text>
    </comment>
    <comment ref="F30" authorId="0" shapeId="0">
      <text>
        <t>Closing: MAX(0, Opening - Principal). Check: must equal next period Opening.</t>
      </text>
    </comment>
    <comment ref="C31" authorId="0" shapeId="0">
      <text>
        <t>Loan: Peapack Capital, AMORTIZING. Source: Meiborg_Debt_Schedule_202512.xlsx - Loan 68</t>
      </text>
    </comment>
    <comment ref="D31" authorId="0" shapeId="0">
      <text>
        <t>Interest: MAX(0, Opening * AnnualRate/12). Source: Meiborg_Debt_Schedule_202512.xlsx - Loan 68</t>
      </text>
    </comment>
    <comment ref="E31" authorId="0" shapeId="0">
      <text>
        <t>Principal: MAX(0, MIN(Opening, Payment-Interest)). Source: Meiborg_Debt_Schedule_202512.xlsx - Loan 68</t>
      </text>
    </comment>
    <comment ref="F31" authorId="0" shapeId="0">
      <text>
        <t>Closing: MAX(0, Opening - Principal). Check: must equal next period Opening.</t>
      </text>
    </comment>
    <comment ref="C32" authorId="0" shapeId="0">
      <text>
        <t>Loan: Peapack Capital, AMORTIZING. Source: Meiborg_Debt_Schedule_202512.xlsx - Loan 68</t>
      </text>
    </comment>
    <comment ref="D32" authorId="0" shapeId="0">
      <text>
        <t>Interest: MAX(0, Opening * AnnualRate/12). Source: Meiborg_Debt_Schedule_202512.xlsx - Loan 68</t>
      </text>
    </comment>
    <comment ref="E32" authorId="0" shapeId="0">
      <text>
        <t>Principal: MAX(0, MIN(Opening, Payment-Interest)). Source: Meiborg_Debt_Schedule_202512.xlsx - Loan 68</t>
      </text>
    </comment>
    <comment ref="F32" authorId="0" shapeId="0">
      <text>
        <t>Closing: MAX(0, Opening - Principal). Check: must equal next period Opening.</t>
      </text>
    </comment>
    <comment ref="C33" authorId="0" shapeId="0">
      <text>
        <t>Loan: Peapack Capital, AMORTIZING. Source: Meiborg_Debt_Schedule_202512.xlsx - Loan 68</t>
      </text>
    </comment>
    <comment ref="D33" authorId="0" shapeId="0">
      <text>
        <t>Interest: MAX(0, Opening * AnnualRate/12). Source: Meiborg_Debt_Schedule_202512.xlsx - Loan 68</t>
      </text>
    </comment>
    <comment ref="E33" authorId="0" shapeId="0">
      <text>
        <t>Principal: MAX(0, MIN(Opening, Payment-Interest)). Source: Meiborg_Debt_Schedule_202512.xlsx - Loan 68</t>
      </text>
    </comment>
    <comment ref="F33" authorId="0" shapeId="0">
      <text>
        <t>Closing: MAX(0, Opening - Principal). Check: must equal next period Opening.</t>
      </text>
    </comment>
    <comment ref="C34" authorId="0" shapeId="0">
      <text>
        <t>Loan: Peapack Capital, AMORTIZING. Source: Meiborg_Debt_Schedule_202512.xlsx - Loan 68</t>
      </text>
    </comment>
    <comment ref="D34" authorId="0" shapeId="0">
      <text>
        <t>Interest: MAX(0, Opening * AnnualRate/12). Source: Meiborg_Debt_Schedule_202512.xlsx - Loan 68</t>
      </text>
    </comment>
    <comment ref="E34" authorId="0" shapeId="0">
      <text>
        <t>Principal: MAX(0, MIN(Opening, Payment-Interest)). Source: Meiborg_Debt_Schedule_202512.xlsx - Loan 68</t>
      </text>
    </comment>
    <comment ref="F34" authorId="0" shapeId="0">
      <text>
        <t>Closing: MAX(0, Opening - Principal). Check: must equal next period Opening.</t>
      </text>
    </comment>
    <comment ref="C35" authorId="0" shapeId="0">
      <text>
        <t>Loan: Peapack Capital, AMORTIZING. Source: Meiborg_Debt_Schedule_202512.xlsx - Loan 68</t>
      </text>
    </comment>
    <comment ref="D35" authorId="0" shapeId="0">
      <text>
        <t>Interest: MAX(0, Opening * AnnualRate/12). Source: Meiborg_Debt_Schedule_202512.xlsx - Loan 68</t>
      </text>
    </comment>
    <comment ref="E35" authorId="0" shapeId="0">
      <text>
        <t>Principal: MAX(0, MIN(Opening, Payment-Interest)). Source: Meiborg_Debt_Schedule_202512.xlsx - Loan 68</t>
      </text>
    </comment>
    <comment ref="F35" authorId="0" shapeId="0">
      <text>
        <t>Closing: MAX(0, Opening - Principal). Check: must equal next period Opening.</t>
      </text>
    </comment>
    <comment ref="C36" authorId="0" shapeId="0">
      <text>
        <t>Loan: Peapack Capital, AMORTIZING. Source: Meiborg_Debt_Schedule_202512.xlsx - Loan 68</t>
      </text>
    </comment>
    <comment ref="D36" authorId="0" shapeId="0">
      <text>
        <t>Interest: MAX(0, Opening * AnnualRate/12). Source: Meiborg_Debt_Schedule_202512.xlsx - Loan 68</t>
      </text>
    </comment>
    <comment ref="E36" authorId="0" shapeId="0">
      <text>
        <t>Principal: MAX(0, MIN(Opening, Payment-Interest)). Source: Meiborg_Debt_Schedule_202512.xlsx - Loan 68</t>
      </text>
    </comment>
    <comment ref="F36" authorId="0" shapeId="0">
      <text>
        <t>Closing: MAX(0, Opening - Principal). Check: must equal next period Opening.</t>
      </text>
    </comment>
    <comment ref="C37" authorId="0" shapeId="0">
      <text>
        <t>Loan: Peapack Capital, AMORTIZING. Source: Meiborg_Debt_Schedule_202512.xlsx - Loan 68</t>
      </text>
    </comment>
    <comment ref="D37" authorId="0" shapeId="0">
      <text>
        <t>Interest: MAX(0, Opening * AnnualRate/12). Source: Meiborg_Debt_Schedule_202512.xlsx - Loan 68</t>
      </text>
    </comment>
    <comment ref="E37" authorId="0" shapeId="0">
      <text>
        <t>Principal: MAX(0, MIN(Opening, Payment-Interest)). Source: Meiborg_Debt_Schedule_202512.xlsx - Loan 68</t>
      </text>
    </comment>
    <comment ref="F37" authorId="0" shapeId="0">
      <text>
        <t>Closing: MAX(0, Opening - Principal). Check: must equal next period Opening.</t>
      </text>
    </comment>
    <comment ref="C38" authorId="0" shapeId="0">
      <text>
        <t>Loan: Peapack Capital, AMORTIZING. Source: Meiborg_Debt_Schedule_202512.xlsx - Loan 68</t>
      </text>
    </comment>
    <comment ref="D38" authorId="0" shapeId="0">
      <text>
        <t>Interest: MAX(0, Opening * AnnualRate/12). Source: Meiborg_Debt_Schedule_202512.xlsx - Loan 68</t>
      </text>
    </comment>
    <comment ref="E38" authorId="0" shapeId="0">
      <text>
        <t>Principal: MAX(0, MIN(Opening, Payment-Interest)). Source: Meiborg_Debt_Schedule_202512.xlsx - Loan 68</t>
      </text>
    </comment>
    <comment ref="F38" authorId="0" shapeId="0">
      <text>
        <t>Closing: MAX(0, Opening - Principal). Check: must equal next period Opening.</t>
      </text>
    </comment>
    <comment ref="C39" authorId="0" shapeId="0">
      <text>
        <t>Loan: Peapack Capital, AMORTIZING. Source: Meiborg_Debt_Schedule_202512.xlsx - Loan 68</t>
      </text>
    </comment>
    <comment ref="D39" authorId="0" shapeId="0">
      <text>
        <t>Interest: MAX(0, Opening * AnnualRate/12). Source: Meiborg_Debt_Schedule_202512.xlsx - Loan 68</t>
      </text>
    </comment>
    <comment ref="E39" authorId="0" shapeId="0">
      <text>
        <t>Principal: MAX(0, MIN(Opening, Payment-Interest)). Source: Meiborg_Debt_Schedule_202512.xlsx - Loan 68</t>
      </text>
    </comment>
    <comment ref="F39" authorId="0" shapeId="0">
      <text>
        <t>Closing: MAX(0, Opening - Principal). Check: must equal next period Opening.</t>
      </text>
    </comment>
    <comment ref="C40" authorId="0" shapeId="0">
      <text>
        <t>Loan: Peapack Capital, AMORTIZING. Source: Meiborg_Debt_Schedule_202512.xlsx - Loan 68</t>
      </text>
    </comment>
    <comment ref="D40" authorId="0" shapeId="0">
      <text>
        <t>Interest: MAX(0, Opening * AnnualRate/12). Source: Meiborg_Debt_Schedule_202512.xlsx - Loan 68</t>
      </text>
    </comment>
    <comment ref="E40" authorId="0" shapeId="0">
      <text>
        <t>Principal: MAX(0, MIN(Opening, Payment-Interest)). Source: Meiborg_Debt_Schedule_202512.xlsx - Loan 68</t>
      </text>
    </comment>
    <comment ref="F40" authorId="0" shapeId="0">
      <text>
        <t>Closing: MAX(0, Opening - Principal). Check: must equal next period Opening.</t>
      </text>
    </comment>
    <comment ref="C41" authorId="0" shapeId="0">
      <text>
        <t>Loan: Peapack Capital, AMORTIZING. Source: Meiborg_Debt_Schedule_202512.xlsx - Loan 68</t>
      </text>
    </comment>
    <comment ref="D41" authorId="0" shapeId="0">
      <text>
        <t>Interest: MAX(0, Opening * AnnualRate/12). Source: Meiborg_Debt_Schedule_202512.xlsx - Loan 68</t>
      </text>
    </comment>
    <comment ref="E41" authorId="0" shapeId="0">
      <text>
        <t>Principal: MAX(0, MIN(Opening, Payment-Interest)). Source: Meiborg_Debt_Schedule_202512.xlsx - Loan 68</t>
      </text>
    </comment>
    <comment ref="F41" authorId="0" shapeId="0">
      <text>
        <t>Closing: MAX(0, Opening - Principal). Check: must equal next period Opening.</t>
      </text>
    </comment>
    <comment ref="C46" authorId="0" shapeId="0">
      <text>
        <t>Sum of rows 23-34: Monthly interest payments</t>
      </text>
    </comment>
    <comment ref="D46" authorId="0" shapeId="0">
      <text>
        <t>Sum of rows 23-34: Monthly principal payments</t>
      </text>
    </comment>
    <comment ref="E46" authorId="0" shapeId="0">
      <text>
        <t>Links to: row 34 - Closing Balance for Dec 2026</t>
      </text>
    </comment>
    <comment ref="C47" authorId="0" shapeId="0">
      <text>
        <t>Sum of rows 35-41: Monthly interest payments</t>
      </text>
    </comment>
    <comment ref="D47" authorId="0" shapeId="0">
      <text>
        <t>Sum of rows 35-41: Monthly principal payments</t>
      </text>
    </comment>
    <comment ref="E47" authorId="0" shapeId="0">
      <text>
        <t>Links to: row 41 - Closing Balance for Dec 2027</t>
      </text>
    </comment>
    <comment ref="B51" authorId="0" shapeId="0">
      <text>
        <t>Links to: row 8 - Current Balance as of 12/31/2025. For Debt Schedule linking.</t>
      </text>
    </comment>
  </commentList>
</comments>
</file>

<file path=xl/comments/comment43.xml><?xml version="1.0" encoding="utf-8"?>
<comments xmlns="http://schemas.openxmlformats.org/spreadsheetml/2006/main">
  <authors>
    <author>Model Builder</author>
  </authors>
  <commentList>
    <comment ref="B7" authorId="0" shapeId="0">
      <text>
        <t>Source: Meiborg_Debt_Schedule_202512.xlsx - Loan 69
Extracted: 2025-12-31</t>
      </text>
    </comment>
    <comment ref="B8" authorId="0" shapeId="0">
      <text>
        <t>Source: Meiborg_Debt_Schedule_202512.xlsx - Loan 69
Extracted: 2025-12-31</t>
      </text>
    </comment>
    <comment ref="B9" authorId="0" shapeId="0">
      <text>
        <t>Loan: Peapack Capital, AMORTIZING. Source: Meiborg_Debt_Schedule_202512.xlsx - Loan 69</t>
      </text>
    </comment>
    <comment ref="B10" authorId="0" shapeId="0">
      <text>
        <t>Fixed monthly payment. Source: Meiborg_Debt_Schedule_202512.xlsx - Loan 69</t>
      </text>
    </comment>
    <comment ref="C23" authorId="0" shapeId="0">
      <text>
        <t>Loan: Peapack Capital, AMORTIZING. Source: Meiborg_Debt_Schedule_202512.xlsx - Loan 69</t>
      </text>
    </comment>
    <comment ref="D23" authorId="0" shapeId="0">
      <text>
        <t>Interest: MAX(0, Opening * AnnualRate/12). Source: Meiborg_Debt_Schedule_202512.xlsx - Loan 69</t>
      </text>
    </comment>
    <comment ref="E23" authorId="0" shapeId="0">
      <text>
        <t>Principal: MAX(0, MIN(Opening, Payment-Interest)). Source: Meiborg_Debt_Schedule_202512.xlsx - Loan 69</t>
      </text>
    </comment>
    <comment ref="F23" authorId="0" shapeId="0">
      <text>
        <t>Closing: MAX(0, Opening - Principal). Check: must equal next period Opening.</t>
      </text>
    </comment>
    <comment ref="C24" authorId="0" shapeId="0">
      <text>
        <t>Loan: Peapack Capital, AMORTIZING. Source: Meiborg_Debt_Schedule_202512.xlsx - Loan 69</t>
      </text>
    </comment>
    <comment ref="D24" authorId="0" shapeId="0">
      <text>
        <t>Interest: MAX(0, Opening * AnnualRate/12). Source: Meiborg_Debt_Schedule_202512.xlsx - Loan 69</t>
      </text>
    </comment>
    <comment ref="E24" authorId="0" shapeId="0">
      <text>
        <t>Principal: MAX(0, MIN(Opening, Payment-Interest)). Source: Meiborg_Debt_Schedule_202512.xlsx - Loan 69</t>
      </text>
    </comment>
    <comment ref="F24" authorId="0" shapeId="0">
      <text>
        <t>Closing: MAX(0, Opening - Principal). Check: must equal next period Opening.</t>
      </text>
    </comment>
    <comment ref="C25" authorId="0" shapeId="0">
      <text>
        <t>Loan: Peapack Capital, AMORTIZING. Source: Meiborg_Debt_Schedule_202512.xlsx - Loan 69</t>
      </text>
    </comment>
    <comment ref="D25" authorId="0" shapeId="0">
      <text>
        <t>Interest: MAX(0, Opening * AnnualRate/12). Source: Meiborg_Debt_Schedule_202512.xlsx - Loan 69</t>
      </text>
    </comment>
    <comment ref="E25" authorId="0" shapeId="0">
      <text>
        <t>Principal: MAX(0, MIN(Opening, Payment-Interest)). Source: Meiborg_Debt_Schedule_202512.xlsx - Loan 69</t>
      </text>
    </comment>
    <comment ref="F25" authorId="0" shapeId="0">
      <text>
        <t>Closing: MAX(0, Opening - Principal). Check: must equal next period Opening.</t>
      </text>
    </comment>
    <comment ref="C26" authorId="0" shapeId="0">
      <text>
        <t>Loan: Peapack Capital, AMORTIZING. Source: Meiborg_Debt_Schedule_202512.xlsx - Loan 69</t>
      </text>
    </comment>
    <comment ref="D26" authorId="0" shapeId="0">
      <text>
        <t>Interest: MAX(0, Opening * AnnualRate/12). Source: Meiborg_Debt_Schedule_202512.xlsx - Loan 69</t>
      </text>
    </comment>
    <comment ref="E26" authorId="0" shapeId="0">
      <text>
        <t>Principal: MAX(0, MIN(Opening, Payment-Interest)). Source: Meiborg_Debt_Schedule_202512.xlsx - Loan 69</t>
      </text>
    </comment>
    <comment ref="F26" authorId="0" shapeId="0">
      <text>
        <t>Closing: MAX(0, Opening - Principal). Check: must equal next period Opening.</t>
      </text>
    </comment>
    <comment ref="C27" authorId="0" shapeId="0">
      <text>
        <t>Loan: Peapack Capital, AMORTIZING. Source: Meiborg_Debt_Schedule_202512.xlsx - Loan 69</t>
      </text>
    </comment>
    <comment ref="D27" authorId="0" shapeId="0">
      <text>
        <t>Interest: MAX(0, Opening * AnnualRate/12). Source: Meiborg_Debt_Schedule_202512.xlsx - Loan 69</t>
      </text>
    </comment>
    <comment ref="E27" authorId="0" shapeId="0">
      <text>
        <t>Principal: MAX(0, MIN(Opening, Payment-Interest)). Source: Meiborg_Debt_Schedule_202512.xlsx - Loan 69</t>
      </text>
    </comment>
    <comment ref="F27" authorId="0" shapeId="0">
      <text>
        <t>Closing: MAX(0, Opening - Principal). Check: must equal next period Opening.</t>
      </text>
    </comment>
    <comment ref="C28" authorId="0" shapeId="0">
      <text>
        <t>Loan: Peapack Capital, AMORTIZING. Source: Meiborg_Debt_Schedule_202512.xlsx - Loan 69</t>
      </text>
    </comment>
    <comment ref="D28" authorId="0" shapeId="0">
      <text>
        <t>Interest: MAX(0, Opening * AnnualRate/12). Source: Meiborg_Debt_Schedule_202512.xlsx - Loan 69</t>
      </text>
    </comment>
    <comment ref="E28" authorId="0" shapeId="0">
      <text>
        <t>Principal: MAX(0, MIN(Opening, Payment-Interest)). Source: Meiborg_Debt_Schedule_202512.xlsx - Loan 69</t>
      </text>
    </comment>
    <comment ref="F28" authorId="0" shapeId="0">
      <text>
        <t>Closing: MAX(0, Opening - Principal). Check: must equal next period Opening.</t>
      </text>
    </comment>
    <comment ref="C29" authorId="0" shapeId="0">
      <text>
        <t>Loan: Peapack Capital, AMORTIZING. Source: Meiborg_Debt_Schedule_202512.xlsx - Loan 69</t>
      </text>
    </comment>
    <comment ref="D29" authorId="0" shapeId="0">
      <text>
        <t>Interest: MAX(0, Opening * AnnualRate/12). Source: Meiborg_Debt_Schedule_202512.xlsx - Loan 69</t>
      </text>
    </comment>
    <comment ref="E29" authorId="0" shapeId="0">
      <text>
        <t>Principal: MAX(0, MIN(Opening, Payment-Interest)). Source: Meiborg_Debt_Schedule_202512.xlsx - Loan 69</t>
      </text>
    </comment>
    <comment ref="F29" authorId="0" shapeId="0">
      <text>
        <t>Closing: MAX(0, Opening - Principal). Check: must equal next period Opening.</t>
      </text>
    </comment>
    <comment ref="C30" authorId="0" shapeId="0">
      <text>
        <t>Loan: Peapack Capital, AMORTIZING. Source: Meiborg_Debt_Schedule_202512.xlsx - Loan 69</t>
      </text>
    </comment>
    <comment ref="D30" authorId="0" shapeId="0">
      <text>
        <t>Interest: MAX(0, Opening * AnnualRate/12). Source: Meiborg_Debt_Schedule_202512.xlsx - Loan 69</t>
      </text>
    </comment>
    <comment ref="E30" authorId="0" shapeId="0">
      <text>
        <t>Principal: MAX(0, MIN(Opening, Payment-Interest)). Source: Meiborg_Debt_Schedule_202512.xlsx - Loan 69</t>
      </text>
    </comment>
    <comment ref="F30" authorId="0" shapeId="0">
      <text>
        <t>Closing: MAX(0, Opening - Principal). Check: must equal next period Opening.</t>
      </text>
    </comment>
    <comment ref="C31" authorId="0" shapeId="0">
      <text>
        <t>Loan: Peapack Capital, AMORTIZING. Source: Meiborg_Debt_Schedule_202512.xlsx - Loan 69</t>
      </text>
    </comment>
    <comment ref="D31" authorId="0" shapeId="0">
      <text>
        <t>Interest: MAX(0, Opening * AnnualRate/12). Source: Meiborg_Debt_Schedule_202512.xlsx - Loan 69</t>
      </text>
    </comment>
    <comment ref="E31" authorId="0" shapeId="0">
      <text>
        <t>Principal: MAX(0, MIN(Opening, Payment-Interest)). Source: Meiborg_Debt_Schedule_202512.xlsx - Loan 69</t>
      </text>
    </comment>
    <comment ref="F31" authorId="0" shapeId="0">
      <text>
        <t>Closing: MAX(0, Opening - Principal). Check: must equal next period Opening.</t>
      </text>
    </comment>
    <comment ref="C32" authorId="0" shapeId="0">
      <text>
        <t>Loan: Peapack Capital, AMORTIZING. Source: Meiborg_Debt_Schedule_202512.xlsx - Loan 69</t>
      </text>
    </comment>
    <comment ref="D32" authorId="0" shapeId="0">
      <text>
        <t>Interest: MAX(0, Opening * AnnualRate/12). Source: Meiborg_Debt_Schedule_202512.xlsx - Loan 69</t>
      </text>
    </comment>
    <comment ref="E32" authorId="0" shapeId="0">
      <text>
        <t>Principal: MAX(0, MIN(Opening, Payment-Interest)). Source: Meiborg_Debt_Schedule_202512.xlsx - Loan 69</t>
      </text>
    </comment>
    <comment ref="F32" authorId="0" shapeId="0">
      <text>
        <t>Closing: MAX(0, Opening - Principal). Check: must equal next period Opening.</t>
      </text>
    </comment>
    <comment ref="C33" authorId="0" shapeId="0">
      <text>
        <t>Loan: Peapack Capital, AMORTIZING. Source: Meiborg_Debt_Schedule_202512.xlsx - Loan 69</t>
      </text>
    </comment>
    <comment ref="D33" authorId="0" shapeId="0">
      <text>
        <t>Interest: MAX(0, Opening * AnnualRate/12). Source: Meiborg_Debt_Schedule_202512.xlsx - Loan 69</t>
      </text>
    </comment>
    <comment ref="E33" authorId="0" shapeId="0">
      <text>
        <t>Principal: MAX(0, MIN(Opening, Payment-Interest)). Source: Meiborg_Debt_Schedule_202512.xlsx - Loan 69</t>
      </text>
    </comment>
    <comment ref="F33" authorId="0" shapeId="0">
      <text>
        <t>Closing: MAX(0, Opening - Principal). Check: must equal next period Opening.</t>
      </text>
    </comment>
    <comment ref="C34" authorId="0" shapeId="0">
      <text>
        <t>Loan: Peapack Capital, AMORTIZING. Source: Meiborg_Debt_Schedule_202512.xlsx - Loan 69</t>
      </text>
    </comment>
    <comment ref="D34" authorId="0" shapeId="0">
      <text>
        <t>Interest: MAX(0, Opening * AnnualRate/12). Source: Meiborg_Debt_Schedule_202512.xlsx - Loan 69</t>
      </text>
    </comment>
    <comment ref="E34" authorId="0" shapeId="0">
      <text>
        <t>Principal: MAX(0, MIN(Opening, Payment-Interest)). Source: Meiborg_Debt_Schedule_202512.xlsx - Loan 69</t>
      </text>
    </comment>
    <comment ref="F34" authorId="0" shapeId="0">
      <text>
        <t>Closing: MAX(0, Opening - Principal). Check: must equal next period Opening.</t>
      </text>
    </comment>
    <comment ref="C35" authorId="0" shapeId="0">
      <text>
        <t>Loan: Peapack Capital, AMORTIZING. Source: Meiborg_Debt_Schedule_202512.xlsx - Loan 69</t>
      </text>
    </comment>
    <comment ref="D35" authorId="0" shapeId="0">
      <text>
        <t>Interest: MAX(0, Opening * AnnualRate/12). Source: Meiborg_Debt_Schedule_202512.xlsx - Loan 69</t>
      </text>
    </comment>
    <comment ref="E35" authorId="0" shapeId="0">
      <text>
        <t>Principal: MAX(0, MIN(Opening, Payment-Interest)). Source: Meiborg_Debt_Schedule_202512.xlsx - Loan 69</t>
      </text>
    </comment>
    <comment ref="F35" authorId="0" shapeId="0">
      <text>
        <t>Closing: MAX(0, Opening - Principal). Check: must equal next period Opening.</t>
      </text>
    </comment>
    <comment ref="C36" authorId="0" shapeId="0">
      <text>
        <t>Loan: Peapack Capital, AMORTIZING. Source: Meiborg_Debt_Schedule_202512.xlsx - Loan 69</t>
      </text>
    </comment>
    <comment ref="D36" authorId="0" shapeId="0">
      <text>
        <t>Interest: MAX(0, Opening * AnnualRate/12). Source: Meiborg_Debt_Schedule_202512.xlsx - Loan 69</t>
      </text>
    </comment>
    <comment ref="E36" authorId="0" shapeId="0">
      <text>
        <t>Principal: MAX(0, MIN(Opening, Payment-Interest)). Source: Meiborg_Debt_Schedule_202512.xlsx - Loan 69</t>
      </text>
    </comment>
    <comment ref="F36" authorId="0" shapeId="0">
      <text>
        <t>Closing: MAX(0, Opening - Principal). Check: must equal next period Opening.</t>
      </text>
    </comment>
    <comment ref="C37" authorId="0" shapeId="0">
      <text>
        <t>Loan: Peapack Capital, AMORTIZING. Source: Meiborg_Debt_Schedule_202512.xlsx - Loan 69</t>
      </text>
    </comment>
    <comment ref="D37" authorId="0" shapeId="0">
      <text>
        <t>Interest: MAX(0, Opening * AnnualRate/12). Source: Meiborg_Debt_Schedule_202512.xlsx - Loan 69</t>
      </text>
    </comment>
    <comment ref="E37" authorId="0" shapeId="0">
      <text>
        <t>Principal: MAX(0, MIN(Opening, Payment-Interest)). Source: Meiborg_Debt_Schedule_202512.xlsx - Loan 69</t>
      </text>
    </comment>
    <comment ref="F37" authorId="0" shapeId="0">
      <text>
        <t>Closing: MAX(0, Opening - Principal). Check: must equal next period Opening.</t>
      </text>
    </comment>
    <comment ref="C38" authorId="0" shapeId="0">
      <text>
        <t>Loan: Peapack Capital, AMORTIZING. Source: Meiborg_Debt_Schedule_202512.xlsx - Loan 69</t>
      </text>
    </comment>
    <comment ref="D38" authorId="0" shapeId="0">
      <text>
        <t>Interest: MAX(0, Opening * AnnualRate/12). Source: Meiborg_Debt_Schedule_202512.xlsx - Loan 69</t>
      </text>
    </comment>
    <comment ref="E38" authorId="0" shapeId="0">
      <text>
        <t>Principal: MAX(0, MIN(Opening, Payment-Interest)). Source: Meiborg_Debt_Schedule_202512.xlsx - Loan 69</t>
      </text>
    </comment>
    <comment ref="F38" authorId="0" shapeId="0">
      <text>
        <t>Closing: MAX(0, Opening - Principal). Check: must equal next period Opening.</t>
      </text>
    </comment>
    <comment ref="C39" authorId="0" shapeId="0">
      <text>
        <t>Loan: Peapack Capital, AMORTIZING. Source: Meiborg_Debt_Schedule_202512.xlsx - Loan 69</t>
      </text>
    </comment>
    <comment ref="D39" authorId="0" shapeId="0">
      <text>
        <t>Interest: MAX(0, Opening * AnnualRate/12). Source: Meiborg_Debt_Schedule_202512.xlsx - Loan 69</t>
      </text>
    </comment>
    <comment ref="E39" authorId="0" shapeId="0">
      <text>
        <t>Principal: MAX(0, MIN(Opening, Payment-Interest)). Source: Meiborg_Debt_Schedule_202512.xlsx - Loan 69</t>
      </text>
    </comment>
    <comment ref="F39" authorId="0" shapeId="0">
      <text>
        <t>Closing: MAX(0, Opening - Principal). Check: must equal next period Opening.</t>
      </text>
    </comment>
    <comment ref="C40" authorId="0" shapeId="0">
      <text>
        <t>Loan: Peapack Capital, AMORTIZING. Source: Meiborg_Debt_Schedule_202512.xlsx - Loan 69</t>
      </text>
    </comment>
    <comment ref="D40" authorId="0" shapeId="0">
      <text>
        <t>Interest: MAX(0, Opening * AnnualRate/12). Source: Meiborg_Debt_Schedule_202512.xlsx - Loan 69</t>
      </text>
    </comment>
    <comment ref="E40" authorId="0" shapeId="0">
      <text>
        <t>Principal: MAX(0, MIN(Opening, Payment-Interest)). Source: Meiborg_Debt_Schedule_202512.xlsx - Loan 69</t>
      </text>
    </comment>
    <comment ref="F40" authorId="0" shapeId="0">
      <text>
        <t>Closing: MAX(0, Opening - Principal). Check: must equal next period Opening.</t>
      </text>
    </comment>
    <comment ref="C41" authorId="0" shapeId="0">
      <text>
        <t>Loan: Peapack Capital, AMORTIZING. Source: Meiborg_Debt_Schedule_202512.xlsx - Loan 69</t>
      </text>
    </comment>
    <comment ref="D41" authorId="0" shapeId="0">
      <text>
        <t>Interest: MAX(0, Opening * AnnualRate/12). Source: Meiborg_Debt_Schedule_202512.xlsx - Loan 69</t>
      </text>
    </comment>
    <comment ref="E41" authorId="0" shapeId="0">
      <text>
        <t>Principal: MAX(0, MIN(Opening, Payment-Interest)). Source: Meiborg_Debt_Schedule_202512.xlsx - Loan 69</t>
      </text>
    </comment>
    <comment ref="F41" authorId="0" shapeId="0">
      <text>
        <t>Closing: MAX(0, Opening - Principal). Check: must equal next period Opening.</t>
      </text>
    </comment>
    <comment ref="C42" authorId="0" shapeId="0">
      <text>
        <t>Loan: Peapack Capital, AMORTIZING. Source: Meiborg_Debt_Schedule_202512.xlsx - Loan 69</t>
      </text>
    </comment>
    <comment ref="D42" authorId="0" shapeId="0">
      <text>
        <t>Interest: MAX(0, Opening * AnnualRate/12). Source: Meiborg_Debt_Schedule_202512.xlsx - Loan 69</t>
      </text>
    </comment>
    <comment ref="E42" authorId="0" shapeId="0">
      <text>
        <t>Principal: MAX(0, MIN(Opening, Payment-Interest)). Source: Meiborg_Debt_Schedule_202512.xlsx - Loan 69</t>
      </text>
    </comment>
    <comment ref="F42" authorId="0" shapeId="0">
      <text>
        <t>Closing: MAX(0, Opening - Principal). Check: must equal next period Opening.</t>
      </text>
    </comment>
    <comment ref="C43" authorId="0" shapeId="0">
      <text>
        <t>Loan: Peapack Capital, AMORTIZING. Source: Meiborg_Debt_Schedule_202512.xlsx - Loan 69</t>
      </text>
    </comment>
    <comment ref="D43" authorId="0" shapeId="0">
      <text>
        <t>Interest: MAX(0, Opening * AnnualRate/12). Source: Meiborg_Debt_Schedule_202512.xlsx - Loan 69</t>
      </text>
    </comment>
    <comment ref="E43" authorId="0" shapeId="0">
      <text>
        <t>Principal: MAX(0, MIN(Opening, Payment-Interest)). Source: Meiborg_Debt_Schedule_202512.xlsx - Loan 69</t>
      </text>
    </comment>
    <comment ref="F43" authorId="0" shapeId="0">
      <text>
        <t>Closing: MAX(0, Opening - Principal). Check: must equal next period Opening.</t>
      </text>
    </comment>
    <comment ref="C44" authorId="0" shapeId="0">
      <text>
        <t>Loan: Peapack Capital, AMORTIZING. Source: Meiborg_Debt_Schedule_202512.xlsx - Loan 69</t>
      </text>
    </comment>
    <comment ref="D44" authorId="0" shapeId="0">
      <text>
        <t>Interest: MAX(0, Opening * AnnualRate/12). Source: Meiborg_Debt_Schedule_202512.xlsx - Loan 69</t>
      </text>
    </comment>
    <comment ref="E44" authorId="0" shapeId="0">
      <text>
        <t>Principal: MAX(0, MIN(Opening, Payment-Interest)). Source: Meiborg_Debt_Schedule_202512.xlsx - Loan 69</t>
      </text>
    </comment>
    <comment ref="F44" authorId="0" shapeId="0">
      <text>
        <t>Closing: MAX(0, Opening - Principal). Check: must equal next period Opening.</t>
      </text>
    </comment>
    <comment ref="C45" authorId="0" shapeId="0">
      <text>
        <t>Loan: Peapack Capital, AMORTIZING. Source: Meiborg_Debt_Schedule_202512.xlsx - Loan 69</t>
      </text>
    </comment>
    <comment ref="D45" authorId="0" shapeId="0">
      <text>
        <t>Interest: MAX(0, Opening * AnnualRate/12). Source: Meiborg_Debt_Schedule_202512.xlsx - Loan 69</t>
      </text>
    </comment>
    <comment ref="E45" authorId="0" shapeId="0">
      <text>
        <t>Principal: MAX(0, MIN(Opening, Payment-Interest)). Source: Meiborg_Debt_Schedule_202512.xlsx - Loan 69</t>
      </text>
    </comment>
    <comment ref="F45" authorId="0" shapeId="0">
      <text>
        <t>Closing: MAX(0, Opening - Principal). Check: must equal next period Opening.</t>
      </text>
    </comment>
    <comment ref="C46" authorId="0" shapeId="0">
      <text>
        <t>Loan: Peapack Capital, AMORTIZING. Source: Meiborg_Debt_Schedule_202512.xlsx - Loan 69</t>
      </text>
    </comment>
    <comment ref="D46" authorId="0" shapeId="0">
      <text>
        <t>Interest: MAX(0, Opening * AnnualRate/12). Source: Meiborg_Debt_Schedule_202512.xlsx - Loan 69</t>
      </text>
    </comment>
    <comment ref="E46" authorId="0" shapeId="0">
      <text>
        <t>Principal: MAX(0, MIN(Opening, Payment-Interest)). Source: Meiborg_Debt_Schedule_202512.xlsx - Loan 69</t>
      </text>
    </comment>
    <comment ref="F46" authorId="0" shapeId="0">
      <text>
        <t>Closing: MAX(0, Opening - Principal). Check: must equal next period Opening.</t>
      </text>
    </comment>
    <comment ref="C47" authorId="0" shapeId="0">
      <text>
        <t>Loan: Peapack Capital, AMORTIZING. Source: Meiborg_Debt_Schedule_202512.xlsx - Loan 69</t>
      </text>
    </comment>
    <comment ref="D47" authorId="0" shapeId="0">
      <text>
        <t>Interest: MAX(0, Opening * AnnualRate/12). Source: Meiborg_Debt_Schedule_202512.xlsx - Loan 69</t>
      </text>
    </comment>
    <comment ref="E47" authorId="0" shapeId="0">
      <text>
        <t>Principal: MAX(0, MIN(Opening, Payment-Interest)). Source: Meiborg_Debt_Schedule_202512.xlsx - Loan 69</t>
      </text>
    </comment>
    <comment ref="F47" authorId="0" shapeId="0">
      <text>
        <t>Closing: MAX(0, Opening - Principal). Check: must equal next period Opening.</t>
      </text>
    </comment>
    <comment ref="C48" authorId="0" shapeId="0">
      <text>
        <t>Loan: Peapack Capital, AMORTIZING. Source: Meiborg_Debt_Schedule_202512.xlsx - Loan 69</t>
      </text>
    </comment>
    <comment ref="D48" authorId="0" shapeId="0">
      <text>
        <t>Interest: MAX(0, Opening * AnnualRate/12). Source: Meiborg_Debt_Schedule_202512.xlsx - Loan 69</t>
      </text>
    </comment>
    <comment ref="E48" authorId="0" shapeId="0">
      <text>
        <t>Principal: MAX(0, MIN(Opening, Payment-Interest)). Source: Meiborg_Debt_Schedule_202512.xlsx - Loan 69</t>
      </text>
    </comment>
    <comment ref="F48" authorId="0" shapeId="0">
      <text>
        <t>Closing: MAX(0, Opening - Principal). Check: must equal next period Opening.</t>
      </text>
    </comment>
    <comment ref="C49" authorId="0" shapeId="0">
      <text>
        <t>Loan: Peapack Capital, AMORTIZING. Source: Meiborg_Debt_Schedule_202512.xlsx - Loan 69</t>
      </text>
    </comment>
    <comment ref="D49" authorId="0" shapeId="0">
      <text>
        <t>Interest: MAX(0, Opening * AnnualRate/12). Source: Meiborg_Debt_Schedule_202512.xlsx - Loan 69</t>
      </text>
    </comment>
    <comment ref="E49" authorId="0" shapeId="0">
      <text>
        <t>Principal: MAX(0, MIN(Opening, Payment-Interest)). Source: Meiborg_Debt_Schedule_202512.xlsx - Loan 69</t>
      </text>
    </comment>
    <comment ref="F49" authorId="0" shapeId="0">
      <text>
        <t>Closing: MAX(0, Opening - Principal). Check: must equal next period Opening.</t>
      </text>
    </comment>
    <comment ref="C50" authorId="0" shapeId="0">
      <text>
        <t>Loan: Peapack Capital, AMORTIZING. Source: Meiborg_Debt_Schedule_202512.xlsx - Loan 69</t>
      </text>
    </comment>
    <comment ref="D50" authorId="0" shapeId="0">
      <text>
        <t>Interest: MAX(0, Opening * AnnualRate/12). Source: Meiborg_Debt_Schedule_202512.xlsx - Loan 69</t>
      </text>
    </comment>
    <comment ref="E50" authorId="0" shapeId="0">
      <text>
        <t>Principal: MAX(0, MIN(Opening, Payment-Interest)). Source: Meiborg_Debt_Schedule_202512.xlsx - Loan 69</t>
      </text>
    </comment>
    <comment ref="F50" authorId="0" shapeId="0">
      <text>
        <t>Closing: MAX(0, Opening - Principal). Check: must equal next period Opening.</t>
      </text>
    </comment>
    <comment ref="C51" authorId="0" shapeId="0">
      <text>
        <t>Loan: Peapack Capital, AMORTIZING. Source: Meiborg_Debt_Schedule_202512.xlsx - Loan 69</t>
      </text>
    </comment>
    <comment ref="D51" authorId="0" shapeId="0">
      <text>
        <t>Interest: MAX(0, Opening * AnnualRate/12). Source: Meiborg_Debt_Schedule_202512.xlsx - Loan 69</t>
      </text>
    </comment>
    <comment ref="E51" authorId="0" shapeId="0">
      <text>
        <t>Principal: MAX(0, MIN(Opening, Payment-Interest)). Source: Meiborg_Debt_Schedule_202512.xlsx - Loan 69</t>
      </text>
    </comment>
    <comment ref="F51" authorId="0" shapeId="0">
      <text>
        <t>Closing: MAX(0, Opening - Principal). Check: must equal next period Opening.</t>
      </text>
    </comment>
    <comment ref="C52" authorId="0" shapeId="0">
      <text>
        <t>Loan: Peapack Capital, AMORTIZING. Source: Meiborg_Debt_Schedule_202512.xlsx - Loan 69</t>
      </text>
    </comment>
    <comment ref="D52" authorId="0" shapeId="0">
      <text>
        <t>Interest: MAX(0, Opening * AnnualRate/12). Source: Meiborg_Debt_Schedule_202512.xlsx - Loan 69</t>
      </text>
    </comment>
    <comment ref="E52" authorId="0" shapeId="0">
      <text>
        <t>Principal: MAX(0, MIN(Opening, Payment-Interest)). Source: Meiborg_Debt_Schedule_202512.xlsx - Loan 69</t>
      </text>
    </comment>
    <comment ref="F52" authorId="0" shapeId="0">
      <text>
        <t>Closing: MAX(0, Opening - Principal). Check: must equal next period Opening.</t>
      </text>
    </comment>
    <comment ref="C53" authorId="0" shapeId="0">
      <text>
        <t>Loan: Peapack Capital, AMORTIZING. Source: Meiborg_Debt_Schedule_202512.xlsx - Loan 69</t>
      </text>
    </comment>
    <comment ref="D53" authorId="0" shapeId="0">
      <text>
        <t>Interest: MAX(0, Opening * AnnualRate/12). Source: Meiborg_Debt_Schedule_202512.xlsx - Loan 69</t>
      </text>
    </comment>
    <comment ref="E53" authorId="0" shapeId="0">
      <text>
        <t>Principal: MAX(0, MIN(Opening, Payment-Interest)). Source: Meiborg_Debt_Schedule_202512.xlsx - Loan 69</t>
      </text>
    </comment>
    <comment ref="F53" authorId="0" shapeId="0">
      <text>
        <t>Closing: MAX(0, Opening - Principal). Check: must equal next period Opening.</t>
      </text>
    </comment>
    <comment ref="C54" authorId="0" shapeId="0">
      <text>
        <t>Loan: Peapack Capital, AMORTIZING. Source: Meiborg_Debt_Schedule_202512.xlsx - Loan 69</t>
      </text>
    </comment>
    <comment ref="D54" authorId="0" shapeId="0">
      <text>
        <t>Interest: MAX(0, Opening * AnnualRate/12). Source: Meiborg_Debt_Schedule_202512.xlsx - Loan 69</t>
      </text>
    </comment>
    <comment ref="E54" authorId="0" shapeId="0">
      <text>
        <t>Principal: MAX(0, MIN(Opening, Payment-Interest)). Source: Meiborg_Debt_Schedule_202512.xlsx - Loan 69</t>
      </text>
    </comment>
    <comment ref="F54" authorId="0" shapeId="0">
      <text>
        <t>Closing: MAX(0, Opening - Principal). Check: must equal next period Opening.</t>
      </text>
    </comment>
    <comment ref="C55" authorId="0" shapeId="0">
      <text>
        <t>Loan: Peapack Capital, AMORTIZING. Source: Meiborg_Debt_Schedule_202512.xlsx - Loan 69</t>
      </text>
    </comment>
    <comment ref="D55" authorId="0" shapeId="0">
      <text>
        <t>Interest: MAX(0, Opening * AnnualRate/12). Source: Meiborg_Debt_Schedule_202512.xlsx - Loan 69</t>
      </text>
    </comment>
    <comment ref="E55" authorId="0" shapeId="0">
      <text>
        <t>Principal: MAX(0, MIN(Opening, Payment-Interest)). Source: Meiborg_Debt_Schedule_202512.xlsx - Loan 69</t>
      </text>
    </comment>
    <comment ref="F55" authorId="0" shapeId="0">
      <text>
        <t>Closing: MAX(0, Opening - Principal). Check: must equal next period Opening.</t>
      </text>
    </comment>
    <comment ref="C56" authorId="0" shapeId="0">
      <text>
        <t>Loan: Peapack Capital, AMORTIZING. Source: Meiborg_Debt_Schedule_202512.xlsx - Loan 69</t>
      </text>
    </comment>
    <comment ref="D56" authorId="0" shapeId="0">
      <text>
        <t>Interest: MAX(0, Opening * AnnualRate/12). Source: Meiborg_Debt_Schedule_202512.xlsx - Loan 69</t>
      </text>
    </comment>
    <comment ref="E56" authorId="0" shapeId="0">
      <text>
        <t>Principal: MAX(0, MIN(Opening, Payment-Interest)). Source: Meiborg_Debt_Schedule_202512.xlsx - Loan 69</t>
      </text>
    </comment>
    <comment ref="F56" authorId="0" shapeId="0">
      <text>
        <t>Closing: MAX(0, Opening - Principal). Check: must equal next period Opening.</t>
      </text>
    </comment>
    <comment ref="C57" authorId="0" shapeId="0">
      <text>
        <t>Loan: Peapack Capital, AMORTIZING. Source: Meiborg_Debt_Schedule_202512.xlsx - Loan 69</t>
      </text>
    </comment>
    <comment ref="D57" authorId="0" shapeId="0">
      <text>
        <t>Interest: MAX(0, Opening * AnnualRate/12). Source: Meiborg_Debt_Schedule_202512.xlsx - Loan 69</t>
      </text>
    </comment>
    <comment ref="E57" authorId="0" shapeId="0">
      <text>
        <t>Principal: MAX(0, MIN(Opening, Payment-Interest)). Source: Meiborg_Debt_Schedule_202512.xlsx - Loan 69</t>
      </text>
    </comment>
    <comment ref="F57" authorId="0" shapeId="0">
      <text>
        <t>Closing: MAX(0, Opening - Principal). Check: must equal next period Opening.</t>
      </text>
    </comment>
    <comment ref="C58" authorId="0" shapeId="0">
      <text>
        <t>Loan: Peapack Capital, AMORTIZING. Source: Meiborg_Debt_Schedule_202512.xlsx - Loan 69</t>
      </text>
    </comment>
    <comment ref="D58" authorId="0" shapeId="0">
      <text>
        <t>Interest: MAX(0, Opening * AnnualRate/12). Source: Meiborg_Debt_Schedule_202512.xlsx - Loan 69</t>
      </text>
    </comment>
    <comment ref="E58" authorId="0" shapeId="0">
      <text>
        <t>Principal: MAX(0, MIN(Opening, Payment-Interest)). Source: Meiborg_Debt_Schedule_202512.xlsx - Loan 69</t>
      </text>
    </comment>
    <comment ref="F58" authorId="0" shapeId="0">
      <text>
        <t>Closing: MAX(0, Opening - Principal). Check: must equal next period Opening.</t>
      </text>
    </comment>
    <comment ref="C59" authorId="0" shapeId="0">
      <text>
        <t>Loan: Peapack Capital, AMORTIZING. Source: Meiborg_Debt_Schedule_202512.xlsx - Loan 69</t>
      </text>
    </comment>
    <comment ref="D59" authorId="0" shapeId="0">
      <text>
        <t>Interest: MAX(0, Opening * AnnualRate/12). Source: Meiborg_Debt_Schedule_202512.xlsx - Loan 69</t>
      </text>
    </comment>
    <comment ref="E59" authorId="0" shapeId="0">
      <text>
        <t>Principal: MAX(0, MIN(Opening, Payment-Interest)). Source: Meiborg_Debt_Schedule_202512.xlsx - Loan 69</t>
      </text>
    </comment>
    <comment ref="F59" authorId="0" shapeId="0">
      <text>
        <t>Closing: MAX(0, Opening - Principal). Check: must equal next period Opening.</t>
      </text>
    </comment>
    <comment ref="C60" authorId="0" shapeId="0">
      <text>
        <t>Loan: Peapack Capital, AMORTIZING. Source: Meiborg_Debt_Schedule_202512.xlsx - Loan 69</t>
      </text>
    </comment>
    <comment ref="D60" authorId="0" shapeId="0">
      <text>
        <t>Interest: MAX(0, Opening * AnnualRate/12). Source: Meiborg_Debt_Schedule_202512.xlsx - Loan 69</t>
      </text>
    </comment>
    <comment ref="E60" authorId="0" shapeId="0">
      <text>
        <t>Principal: MAX(0, MIN(Opening, Payment-Interest)). Source: Meiborg_Debt_Schedule_202512.xlsx - Loan 69</t>
      </text>
    </comment>
    <comment ref="F60" authorId="0" shapeId="0">
      <text>
        <t>Closing: MAX(0, Opening - Principal). Check: must equal next period Opening.</t>
      </text>
    </comment>
    <comment ref="C61" authorId="0" shapeId="0">
      <text>
        <t>Loan: Peapack Capital, AMORTIZING. Source: Meiborg_Debt_Schedule_202512.xlsx - Loan 69</t>
      </text>
    </comment>
    <comment ref="D61" authorId="0" shapeId="0">
      <text>
        <t>Interest: MAX(0, Opening * AnnualRate/12). Source: Meiborg_Debt_Schedule_202512.xlsx - Loan 69</t>
      </text>
    </comment>
    <comment ref="E61" authorId="0" shapeId="0">
      <text>
        <t>Principal: MAX(0, MIN(Opening, Payment-Interest)). Source: Meiborg_Debt_Schedule_202512.xlsx - Loan 69</t>
      </text>
    </comment>
    <comment ref="F61" authorId="0" shapeId="0">
      <text>
        <t>Closing: MAX(0, Opening - Principal). Check: must equal next period Opening.</t>
      </text>
    </comment>
    <comment ref="C62" authorId="0" shapeId="0">
      <text>
        <t>Loan: Peapack Capital, AMORTIZING. Source: Meiborg_Debt_Schedule_202512.xlsx - Loan 69</t>
      </text>
    </comment>
    <comment ref="D62" authorId="0" shapeId="0">
      <text>
        <t>Interest: MAX(0, Opening * AnnualRate/12). Source: Meiborg_Debt_Schedule_202512.xlsx - Loan 69</t>
      </text>
    </comment>
    <comment ref="E62" authorId="0" shapeId="0">
      <text>
        <t>Principal: MAX(0, MIN(Opening, Payment-Interest)). Source: Meiborg_Debt_Schedule_202512.xlsx - Loan 69</t>
      </text>
    </comment>
    <comment ref="F62" authorId="0" shapeId="0">
      <text>
        <t>Closing: MAX(0, Opening - Principal). Check: must equal next period Opening.</t>
      </text>
    </comment>
    <comment ref="C63" authorId="0" shapeId="0">
      <text>
        <t>Loan: Peapack Capital, AMORTIZING. Source: Meiborg_Debt_Schedule_202512.xlsx - Loan 69</t>
      </text>
    </comment>
    <comment ref="D63" authorId="0" shapeId="0">
      <text>
        <t>Interest: MAX(0, Opening * AnnualRate/12). Source: Meiborg_Debt_Schedule_202512.xlsx - Loan 69</t>
      </text>
    </comment>
    <comment ref="E63" authorId="0" shapeId="0">
      <text>
        <t>Principal: MAX(0, MIN(Opening, Payment-Interest)). Source: Meiborg_Debt_Schedule_202512.xlsx - Loan 69</t>
      </text>
    </comment>
    <comment ref="F63" authorId="0" shapeId="0">
      <text>
        <t>Closing: MAX(0, Opening - Principal). Check: must equal next period Opening.</t>
      </text>
    </comment>
    <comment ref="C64" authorId="0" shapeId="0">
      <text>
        <t>Loan: Peapack Capital, AMORTIZING. Source: Meiborg_Debt_Schedule_202512.xlsx - Loan 69</t>
      </text>
    </comment>
    <comment ref="D64" authorId="0" shapeId="0">
      <text>
        <t>Interest: MAX(0, Opening * AnnualRate/12). Source: Meiborg_Debt_Schedule_202512.xlsx - Loan 69</t>
      </text>
    </comment>
    <comment ref="E64" authorId="0" shapeId="0">
      <text>
        <t>Principal: MAX(0, MIN(Opening, Payment-Interest)). Source: Meiborg_Debt_Schedule_202512.xlsx - Loan 69</t>
      </text>
    </comment>
    <comment ref="F64" authorId="0" shapeId="0">
      <text>
        <t>Closing: MAX(0, Opening - Principal). Check: must equal next period Opening.</t>
      </text>
    </comment>
    <comment ref="C65" authorId="0" shapeId="0">
      <text>
        <t>Loan: Peapack Capital, AMORTIZING. Source: Meiborg_Debt_Schedule_202512.xlsx - Loan 69</t>
      </text>
    </comment>
    <comment ref="D65" authorId="0" shapeId="0">
      <text>
        <t>Interest: MAX(0, Opening * AnnualRate/12). Source: Meiborg_Debt_Schedule_202512.xlsx - Loan 69</t>
      </text>
    </comment>
    <comment ref="E65" authorId="0" shapeId="0">
      <text>
        <t>Principal: MAX(0, MIN(Opening, Payment-Interest)). Source: Meiborg_Debt_Schedule_202512.xlsx - Loan 69</t>
      </text>
    </comment>
    <comment ref="F65" authorId="0" shapeId="0">
      <text>
        <t>Closing: MAX(0, Opening - Principal). Check: must equal next period Opening.</t>
      </text>
    </comment>
    <comment ref="C66" authorId="0" shapeId="0">
      <text>
        <t>Loan: Peapack Capital, AMORTIZING. Source: Meiborg_Debt_Schedule_202512.xlsx - Loan 69</t>
      </text>
    </comment>
    <comment ref="D66" authorId="0" shapeId="0">
      <text>
        <t>Interest: MAX(0, Opening * AnnualRate/12). Source: Meiborg_Debt_Schedule_202512.xlsx - Loan 69</t>
      </text>
    </comment>
    <comment ref="E66" authorId="0" shapeId="0">
      <text>
        <t>Principal: MAX(0, MIN(Opening, Payment-Interest)). Source: Meiborg_Debt_Schedule_202512.xlsx - Loan 69</t>
      </text>
    </comment>
    <comment ref="F66" authorId="0" shapeId="0">
      <text>
        <t>Closing: MAX(0, Opening - Principal). Check: must equal next period Opening.</t>
      </text>
    </comment>
    <comment ref="C67" authorId="0" shapeId="0">
      <text>
        <t>Loan: Peapack Capital, AMORTIZING. Source: Meiborg_Debt_Schedule_202512.xlsx - Loan 69</t>
      </text>
    </comment>
    <comment ref="D67" authorId="0" shapeId="0">
      <text>
        <t>Interest: MAX(0, Opening * AnnualRate/12). Source: Meiborg_Debt_Schedule_202512.xlsx - Loan 69</t>
      </text>
    </comment>
    <comment ref="E67" authorId="0" shapeId="0">
      <text>
        <t>Principal: MAX(0, MIN(Opening, Payment-Interest)). Source: Meiborg_Debt_Schedule_202512.xlsx - Loan 69</t>
      </text>
    </comment>
    <comment ref="F67" authorId="0" shapeId="0">
      <text>
        <t>Closing: MAX(0, Opening - Principal). Check: must equal next period Opening.</t>
      </text>
    </comment>
    <comment ref="C68" authorId="0" shapeId="0">
      <text>
        <t>Loan: Peapack Capital, AMORTIZING. Source: Meiborg_Debt_Schedule_202512.xlsx - Loan 69</t>
      </text>
    </comment>
    <comment ref="D68" authorId="0" shapeId="0">
      <text>
        <t>Interest: MAX(0, Opening * AnnualRate/12). Source: Meiborg_Debt_Schedule_202512.xlsx - Loan 69</t>
      </text>
    </comment>
    <comment ref="E68" authorId="0" shapeId="0">
      <text>
        <t>Principal: MAX(0, MIN(Opening, Payment-Interest)). Source: Meiborg_Debt_Schedule_202512.xlsx - Loan 69</t>
      </text>
    </comment>
    <comment ref="F68" authorId="0" shapeId="0">
      <text>
        <t>Closing: MAX(0, Opening - Principal). Check: must equal next period Opening.</t>
      </text>
    </comment>
    <comment ref="C69" authorId="0" shapeId="0">
      <text>
        <t>Loan: Peapack Capital, AMORTIZING. Source: Meiborg_Debt_Schedule_202512.xlsx - Loan 69</t>
      </text>
    </comment>
    <comment ref="D69" authorId="0" shapeId="0">
      <text>
        <t>Interest: MAX(0, Opening * AnnualRate/12). Source: Meiborg_Debt_Schedule_202512.xlsx - Loan 69</t>
      </text>
    </comment>
    <comment ref="E69" authorId="0" shapeId="0">
      <text>
        <t>Principal: MAX(0, MIN(Opening, Payment-Interest)). Source: Meiborg_Debt_Schedule_202512.xlsx - Loan 69</t>
      </text>
    </comment>
    <comment ref="F69" authorId="0" shapeId="0">
      <text>
        <t>Closing: MAX(0, Opening - Principal). Check: must equal next period Opening.</t>
      </text>
    </comment>
    <comment ref="C70" authorId="0" shapeId="0">
      <text>
        <t>Loan: Peapack Capital, AMORTIZING. Source: Meiborg_Debt_Schedule_202512.xlsx - Loan 69</t>
      </text>
    </comment>
    <comment ref="D70" authorId="0" shapeId="0">
      <text>
        <t>Interest: MAX(0, Opening * AnnualRate/12). Source: Meiborg_Debt_Schedule_202512.xlsx - Loan 69</t>
      </text>
    </comment>
    <comment ref="E70" authorId="0" shapeId="0">
      <text>
        <t>Principal: MAX(0, MIN(Opening, Payment-Interest)). Source: Meiborg_Debt_Schedule_202512.xlsx - Loan 69</t>
      </text>
    </comment>
    <comment ref="F70" authorId="0" shapeId="0">
      <text>
        <t>Closing: MAX(0, Opening - Principal). Check: must equal next period Opening.</t>
      </text>
    </comment>
    <comment ref="C71" authorId="0" shapeId="0">
      <text>
        <t>Loan: Peapack Capital, AMORTIZING. Source: Meiborg_Debt_Schedule_202512.xlsx - Loan 69</t>
      </text>
    </comment>
    <comment ref="D71" authorId="0" shapeId="0">
      <text>
        <t>Interest: MAX(0, Opening * AnnualRate/12). Source: Meiborg_Debt_Schedule_202512.xlsx - Loan 69</t>
      </text>
    </comment>
    <comment ref="E71" authorId="0" shapeId="0">
      <text>
        <t>Principal: MAX(0, MIN(Opening, Payment-Interest)). Source: Meiborg_Debt_Schedule_202512.xlsx - Loan 69</t>
      </text>
    </comment>
    <comment ref="F71" authorId="0" shapeId="0">
      <text>
        <t>Closing: MAX(0, Opening - Principal). Check: must equal next period Opening.</t>
      </text>
    </comment>
    <comment ref="C72" authorId="0" shapeId="0">
      <text>
        <t>Loan: Peapack Capital, AMORTIZING. Source: Meiborg_Debt_Schedule_202512.xlsx - Loan 69</t>
      </text>
    </comment>
    <comment ref="D72" authorId="0" shapeId="0">
      <text>
        <t>Interest: MAX(0, Opening * AnnualRate/12). Source: Meiborg_Debt_Schedule_202512.xlsx - Loan 69</t>
      </text>
    </comment>
    <comment ref="E72" authorId="0" shapeId="0">
      <text>
        <t>Principal: MAX(0, MIN(Opening, Payment-Interest)). Source: Meiborg_Debt_Schedule_202512.xlsx - Loan 69</t>
      </text>
    </comment>
    <comment ref="F72" authorId="0" shapeId="0">
      <text>
        <t>Closing: MAX(0, Opening - Principal). Check: must equal next period Opening.</t>
      </text>
    </comment>
    <comment ref="C73" authorId="0" shapeId="0">
      <text>
        <t>Loan: Peapack Capital, AMORTIZING. Source: Meiborg_Debt_Schedule_202512.xlsx - Loan 69</t>
      </text>
    </comment>
    <comment ref="D73" authorId="0" shapeId="0">
      <text>
        <t>Interest: MAX(0, Opening * AnnualRate/12). Source: Meiborg_Debt_Schedule_202512.xlsx - Loan 69</t>
      </text>
    </comment>
    <comment ref="E73" authorId="0" shapeId="0">
      <text>
        <t>Principal: MAX(0, MIN(Opening, Payment-Interest)). Source: Meiborg_Debt_Schedule_202512.xlsx - Loan 69</t>
      </text>
    </comment>
    <comment ref="F73" authorId="0" shapeId="0">
      <text>
        <t>Closing: MAX(0, Opening - Principal). Check: must equal next period Opening.</t>
      </text>
    </comment>
    <comment ref="C74" authorId="0" shapeId="0">
      <text>
        <t>Loan: Peapack Capital, AMORTIZING. Source: Meiborg_Debt_Schedule_202512.xlsx - Loan 69</t>
      </text>
    </comment>
    <comment ref="D74" authorId="0" shapeId="0">
      <text>
        <t>Interest: MAX(0, Opening * AnnualRate/12). Source: Meiborg_Debt_Schedule_202512.xlsx - Loan 69</t>
      </text>
    </comment>
    <comment ref="E74" authorId="0" shapeId="0">
      <text>
        <t>Principal: MAX(0, MIN(Opening, Payment-Interest)). Source: Meiborg_Debt_Schedule_202512.xlsx - Loan 69</t>
      </text>
    </comment>
    <comment ref="F74" authorId="0" shapeId="0">
      <text>
        <t>Closing: MAX(0, Opening - Principal). Check: must equal next period Opening.</t>
      </text>
    </comment>
    <comment ref="C75" authorId="0" shapeId="0">
      <text>
        <t>Loan: Peapack Capital, AMORTIZING. Source: Meiborg_Debt_Schedule_202512.xlsx - Loan 69</t>
      </text>
    </comment>
    <comment ref="D75" authorId="0" shapeId="0">
      <text>
        <t>Interest: MAX(0, Opening * AnnualRate/12). Source: Meiborg_Debt_Schedule_202512.xlsx - Loan 69</t>
      </text>
    </comment>
    <comment ref="E75" authorId="0" shapeId="0">
      <text>
        <t>Principal: MAX(0, MIN(Opening, Payment-Interest)). Source: Meiborg_Debt_Schedule_202512.xlsx - Loan 69</t>
      </text>
    </comment>
    <comment ref="F75" authorId="0" shapeId="0">
      <text>
        <t>Closing: MAX(0, Opening - Principal). Check: must equal next period Opening.</t>
      </text>
    </comment>
    <comment ref="C76" authorId="0" shapeId="0">
      <text>
        <t>Loan: Peapack Capital, AMORTIZING. Source: Meiborg_Debt_Schedule_202512.xlsx - Loan 69</t>
      </text>
    </comment>
    <comment ref="D76" authorId="0" shapeId="0">
      <text>
        <t>Interest: MAX(0, Opening * AnnualRate/12). Source: Meiborg_Debt_Schedule_202512.xlsx - Loan 69</t>
      </text>
    </comment>
    <comment ref="E76" authorId="0" shapeId="0">
      <text>
        <t>Principal: MAX(0, MIN(Opening, Payment-Interest)). Source: Meiborg_Debt_Schedule_202512.xlsx - Loan 69</t>
      </text>
    </comment>
    <comment ref="F76" authorId="0" shapeId="0">
      <text>
        <t>Closing: MAX(0, Opening - Principal). Check: must equal next period Opening.</t>
      </text>
    </comment>
    <comment ref="C77" authorId="0" shapeId="0">
      <text>
        <t>Loan: Peapack Capital, AMORTIZING. Source: Meiborg_Debt_Schedule_202512.xlsx - Loan 69</t>
      </text>
    </comment>
    <comment ref="D77" authorId="0" shapeId="0">
      <text>
        <t>Interest: MAX(0, Opening * AnnualRate/12). Source: Meiborg_Debt_Schedule_202512.xlsx - Loan 69</t>
      </text>
    </comment>
    <comment ref="E77" authorId="0" shapeId="0">
      <text>
        <t>Principal: MAX(0, MIN(Opening, Payment-Interest)). Source: Meiborg_Debt_Schedule_202512.xlsx - Loan 69</t>
      </text>
    </comment>
    <comment ref="F77" authorId="0" shapeId="0">
      <text>
        <t>Closing: MAX(0, Opening - Principal). Check: must equal next period Opening.</t>
      </text>
    </comment>
    <comment ref="C78" authorId="0" shapeId="0">
      <text>
        <t>Loan: Peapack Capital, AMORTIZING. Source: Meiborg_Debt_Schedule_202512.xlsx - Loan 69</t>
      </text>
    </comment>
    <comment ref="D78" authorId="0" shapeId="0">
      <text>
        <t>Interest: MAX(0, Opening * AnnualRate/12). Source: Meiborg_Debt_Schedule_202512.xlsx - Loan 69</t>
      </text>
    </comment>
    <comment ref="E78" authorId="0" shapeId="0">
      <text>
        <t>Principal: MAX(0, MIN(Opening, Payment-Interest)). Source: Meiborg_Debt_Schedule_202512.xlsx - Loan 69</t>
      </text>
    </comment>
    <comment ref="F78" authorId="0" shapeId="0">
      <text>
        <t>Closing: MAX(0, Opening - Principal). Check: must equal next period Opening.</t>
      </text>
    </comment>
    <comment ref="C79" authorId="0" shapeId="0">
      <text>
        <t>Loan: Peapack Capital, AMORTIZING. Source: Meiborg_Debt_Schedule_202512.xlsx - Loan 69</t>
      </text>
    </comment>
    <comment ref="D79" authorId="0" shapeId="0">
      <text>
        <t>Interest: MAX(0, Opening * AnnualRate/12). Source: Meiborg_Debt_Schedule_202512.xlsx - Loan 69</t>
      </text>
    </comment>
    <comment ref="E79" authorId="0" shapeId="0">
      <text>
        <t>Principal: MAX(0, MIN(Opening, Payment-Interest)). Source: Meiborg_Debt_Schedule_202512.xlsx - Loan 69</t>
      </text>
    </comment>
    <comment ref="F79" authorId="0" shapeId="0">
      <text>
        <t>Closing: MAX(0, Opening - Principal). Check: must equal next period Opening.</t>
      </text>
    </comment>
    <comment ref="C80" authorId="0" shapeId="0">
      <text>
        <t>Loan: Peapack Capital, AMORTIZING. Source: Meiborg_Debt_Schedule_202512.xlsx - Loan 69</t>
      </text>
    </comment>
    <comment ref="D80" authorId="0" shapeId="0">
      <text>
        <t>Interest: MAX(0, Opening * AnnualRate/12). Source: Meiborg_Debt_Schedule_202512.xlsx - Loan 69</t>
      </text>
    </comment>
    <comment ref="E80" authorId="0" shapeId="0">
      <text>
        <t>Principal: MAX(0, MIN(Opening, Payment-Interest)). Source: Meiborg_Debt_Schedule_202512.xlsx - Loan 69</t>
      </text>
    </comment>
    <comment ref="F80" authorId="0" shapeId="0">
      <text>
        <t>Closing: MAX(0, Opening - Principal). Check: must equal next period Opening.</t>
      </text>
    </comment>
    <comment ref="C81" authorId="0" shapeId="0">
      <text>
        <t>Loan: Peapack Capital, AMORTIZING. Source: Meiborg_Debt_Schedule_202512.xlsx - Loan 69</t>
      </text>
    </comment>
    <comment ref="D81" authorId="0" shapeId="0">
      <text>
        <t>Interest: MAX(0, Opening * AnnualRate/12). Source: Meiborg_Debt_Schedule_202512.xlsx - Loan 69</t>
      </text>
    </comment>
    <comment ref="E81" authorId="0" shapeId="0">
      <text>
        <t>Principal: MAX(0, MIN(Opening, Payment-Interest)). Source: Meiborg_Debt_Schedule_202512.xlsx - Loan 69</t>
      </text>
    </comment>
    <comment ref="F81" authorId="0" shapeId="0">
      <text>
        <t>Closing: MAX(0, Opening - Principal). Check: must equal next period Opening.</t>
      </text>
    </comment>
    <comment ref="C82" authorId="0" shapeId="0">
      <text>
        <t>Loan: Peapack Capital, AMORTIZING. Source: Meiborg_Debt_Schedule_202512.xlsx - Loan 69</t>
      </text>
    </comment>
    <comment ref="D82" authorId="0" shapeId="0">
      <text>
        <t>Interest: MAX(0, Opening * AnnualRate/12). Source: Meiborg_Debt_Schedule_202512.xlsx - Loan 69</t>
      </text>
    </comment>
    <comment ref="E82" authorId="0" shapeId="0">
      <text>
        <t>Principal: MAX(0, MIN(Opening, Payment-Interest)). Source: Meiborg_Debt_Schedule_202512.xlsx - Loan 69</t>
      </text>
    </comment>
    <comment ref="F82" authorId="0" shapeId="0">
      <text>
        <t>Closing: MAX(0, Opening - Principal). Check: must equal next period Opening.</t>
      </text>
    </comment>
    <comment ref="C83" authorId="0" shapeId="0">
      <text>
        <t>Loan: Peapack Capital, AMORTIZING. Source: Meiborg_Debt_Schedule_202512.xlsx - Loan 69</t>
      </text>
    </comment>
    <comment ref="D83" authorId="0" shapeId="0">
      <text>
        <t>Interest: MAX(0, Opening * AnnualRate/12). Source: Meiborg_Debt_Schedule_202512.xlsx - Loan 69</t>
      </text>
    </comment>
    <comment ref="E83" authorId="0" shapeId="0">
      <text>
        <t>Principal: MAX(0, MIN(Opening, Payment-Interest)). Source: Meiborg_Debt_Schedule_202512.xlsx - Loan 69</t>
      </text>
    </comment>
    <comment ref="F83" authorId="0" shapeId="0">
      <text>
        <t>Closing: MAX(0, Opening - Principal). Check: must equal next period Opening.</t>
      </text>
    </comment>
    <comment ref="C84" authorId="0" shapeId="0">
      <text>
        <t>Loan: Peapack Capital, AMORTIZING. Source: Meiborg_Debt_Schedule_202512.xlsx - Loan 69</t>
      </text>
    </comment>
    <comment ref="D84" authorId="0" shapeId="0">
      <text>
        <t>Interest: MAX(0, Opening * AnnualRate/12). Source: Meiborg_Debt_Schedule_202512.xlsx - Loan 69</t>
      </text>
    </comment>
    <comment ref="E84" authorId="0" shapeId="0">
      <text>
        <t>Principal: MAX(0, MIN(Opening, Payment-Interest)). Source: Meiborg_Debt_Schedule_202512.xlsx - Loan 69</t>
      </text>
    </comment>
    <comment ref="F84" authorId="0" shapeId="0">
      <text>
        <t>Closing: MAX(0, Opening - Principal). Check: must equal next period Opening.</t>
      </text>
    </comment>
    <comment ref="C85" authorId="0" shapeId="0">
      <text>
        <t>Loan: Peapack Capital, AMORTIZING. Source: Meiborg_Debt_Schedule_202512.xlsx - Loan 69</t>
      </text>
    </comment>
    <comment ref="D85" authorId="0" shapeId="0">
      <text>
        <t>Interest: MAX(0, Opening * AnnualRate/12). Source: Meiborg_Debt_Schedule_202512.xlsx - Loan 69</t>
      </text>
    </comment>
    <comment ref="E85" authorId="0" shapeId="0">
      <text>
        <t>Principal: MAX(0, MIN(Opening, Payment-Interest)). Source: Meiborg_Debt_Schedule_202512.xlsx - Loan 69</t>
      </text>
    </comment>
    <comment ref="F85" authorId="0" shapeId="0">
      <text>
        <t>Closing: MAX(0, Opening - Principal). Check: must equal next period Opening.</t>
      </text>
    </comment>
    <comment ref="C86" authorId="0" shapeId="0">
      <text>
        <t>Loan: Peapack Capital, AMORTIZING. Source: Meiborg_Debt_Schedule_202512.xlsx - Loan 69</t>
      </text>
    </comment>
    <comment ref="D86" authorId="0" shapeId="0">
      <text>
        <t>Interest: MAX(0, Opening * AnnualRate/12). Source: Meiborg_Debt_Schedule_202512.xlsx - Loan 69</t>
      </text>
    </comment>
    <comment ref="E86" authorId="0" shapeId="0">
      <text>
        <t>Principal: MAX(0, MIN(Opening, Payment-Interest)). Source: Meiborg_Debt_Schedule_202512.xlsx - Loan 69</t>
      </text>
    </comment>
    <comment ref="F86" authorId="0" shapeId="0">
      <text>
        <t>Closing: MAX(0, Opening - Principal). Check: must equal next period Opening.</t>
      </text>
    </comment>
    <comment ref="C87" authorId="0" shapeId="0">
      <text>
        <t>Loan: Peapack Capital, AMORTIZING. Source: Meiborg_Debt_Schedule_202512.xlsx - Loan 69</t>
      </text>
    </comment>
    <comment ref="D87" authorId="0" shapeId="0">
      <text>
        <t>Interest: MAX(0, Opening * AnnualRate/12). Source: Meiborg_Debt_Schedule_202512.xlsx - Loan 69</t>
      </text>
    </comment>
    <comment ref="E87" authorId="0" shapeId="0">
      <text>
        <t>Principal: MAX(0, MIN(Opening, Payment-Interest)). Source: Meiborg_Debt_Schedule_202512.xlsx - Loan 69</t>
      </text>
    </comment>
    <comment ref="F87" authorId="0" shapeId="0">
      <text>
        <t>Closing: MAX(0, Opening - Principal). Check: must equal next period Opening.</t>
      </text>
    </comment>
    <comment ref="C88" authorId="0" shapeId="0">
      <text>
        <t>Loan: Peapack Capital, AMORTIZING. Source: Meiborg_Debt_Schedule_202512.xlsx - Loan 69</t>
      </text>
    </comment>
    <comment ref="D88" authorId="0" shapeId="0">
      <text>
        <t>Interest: MAX(0, Opening * AnnualRate/12). Source: Meiborg_Debt_Schedule_202512.xlsx - Loan 69</t>
      </text>
    </comment>
    <comment ref="E88" authorId="0" shapeId="0">
      <text>
        <t>Principal: MAX(0, MIN(Opening, Payment-Interest)). Source: Meiborg_Debt_Schedule_202512.xlsx - Loan 69</t>
      </text>
    </comment>
    <comment ref="F88" authorId="0" shapeId="0">
      <text>
        <t>Closing: MAX(0, Opening - Principal). Check: must equal next period Opening.</t>
      </text>
    </comment>
    <comment ref="C89" authorId="0" shapeId="0">
      <text>
        <t>Loan: Peapack Capital, AMORTIZING. Source: Meiborg_Debt_Schedule_202512.xlsx - Loan 69</t>
      </text>
    </comment>
    <comment ref="D89" authorId="0" shapeId="0">
      <text>
        <t>Interest: MAX(0, Opening * AnnualRate/12). Source: Meiborg_Debt_Schedule_202512.xlsx - Loan 69</t>
      </text>
    </comment>
    <comment ref="E89" authorId="0" shapeId="0">
      <text>
        <t>Principal: MAX(0, MIN(Opening, Payment-Interest)). Source: Meiborg_Debt_Schedule_202512.xlsx - Loan 69</t>
      </text>
    </comment>
    <comment ref="F89" authorId="0" shapeId="0">
      <text>
        <t>Closing: MAX(0, Opening - Principal). Check: must equal next period Opening.</t>
      </text>
    </comment>
    <comment ref="C94" authorId="0" shapeId="0">
      <text>
        <t>Sum of rows 23-34: Monthly interest payments</t>
      </text>
    </comment>
    <comment ref="D94" authorId="0" shapeId="0">
      <text>
        <t>Sum of rows 23-34: Monthly principal payments</t>
      </text>
    </comment>
    <comment ref="E94" authorId="0" shapeId="0">
      <text>
        <t>Links to: row 34 - Closing Balance for Dec 2026</t>
      </text>
    </comment>
    <comment ref="C95" authorId="0" shapeId="0">
      <text>
        <t>Sum of rows 35-46: Monthly interest payments</t>
      </text>
    </comment>
    <comment ref="D95" authorId="0" shapeId="0">
      <text>
        <t>Sum of rows 35-46: Monthly principal payments</t>
      </text>
    </comment>
    <comment ref="E95" authorId="0" shapeId="0">
      <text>
        <t>Links to: row 46 - Closing Balance for Dec 2027</t>
      </text>
    </comment>
    <comment ref="C96" authorId="0" shapeId="0">
      <text>
        <t>Sum of rows 47-58: Monthly interest payments</t>
      </text>
    </comment>
    <comment ref="D96" authorId="0" shapeId="0">
      <text>
        <t>Sum of rows 47-58: Monthly principal payments</t>
      </text>
    </comment>
    <comment ref="E96" authorId="0" shapeId="0">
      <text>
        <t>Links to: row 58 - Closing Balance for Dec 2028</t>
      </text>
    </comment>
    <comment ref="C97" authorId="0" shapeId="0">
      <text>
        <t>Sum of rows 59-70: Monthly interest payments</t>
      </text>
    </comment>
    <comment ref="D97" authorId="0" shapeId="0">
      <text>
        <t>Sum of rows 59-70: Monthly principal payments</t>
      </text>
    </comment>
    <comment ref="E97" authorId="0" shapeId="0">
      <text>
        <t>Links to: row 70 - Closing Balance for Dec 2029</t>
      </text>
    </comment>
    <comment ref="C98" authorId="0" shapeId="0">
      <text>
        <t>Sum of rows 71-82: Monthly interest payments</t>
      </text>
    </comment>
    <comment ref="D98" authorId="0" shapeId="0">
      <text>
        <t>Sum of rows 71-82: Monthly principal payments</t>
      </text>
    </comment>
    <comment ref="E98" authorId="0" shapeId="0">
      <text>
        <t>Links to: row 82 - Closing Balance for Dec 2030</t>
      </text>
    </comment>
    <comment ref="C99" authorId="0" shapeId="0">
      <text>
        <t>Sum of rows 83-89: Monthly interest payments</t>
      </text>
    </comment>
    <comment ref="D99" authorId="0" shapeId="0">
      <text>
        <t>Sum of rows 83-89: Monthly principal payments</t>
      </text>
    </comment>
    <comment ref="E99" authorId="0" shapeId="0">
      <text>
        <t>Links to: row 89 - Closing Balance for Dec 2031</t>
      </text>
    </comment>
    <comment ref="B103" authorId="0" shapeId="0">
      <text>
        <t>Links to: row 8 - Current Balance as of 12/31/2025. For Debt Schedule linking.</t>
      </text>
    </comment>
  </commentList>
</comments>
</file>

<file path=xl/comments/comment44.xml><?xml version="1.0" encoding="utf-8"?>
<comments xmlns="http://schemas.openxmlformats.org/spreadsheetml/2006/main">
  <authors>
    <author>Model Builder</author>
  </authors>
  <commentList>
    <comment ref="B7" authorId="0" shapeId="0">
      <text>
        <t>Source: Meiborg_Debt_Schedule_202512.xlsx - Loan 70
Extracted: 2025-12-31</t>
      </text>
    </comment>
    <comment ref="B8" authorId="0" shapeId="0">
      <text>
        <t>Source: Meiborg_Debt_Schedule_202512.xlsx - Loan 70
Extracted: 2025-12-31</t>
      </text>
    </comment>
    <comment ref="B9" authorId="0" shapeId="0">
      <text>
        <t>Loan: TriState Capital, AMORTIZING. Source: Meiborg_Debt_Schedule_202512.xlsx - Loan 70</t>
      </text>
    </comment>
    <comment ref="B10" authorId="0" shapeId="0">
      <text>
        <t>Fixed monthly payment. Source: Meiborg_Debt_Schedule_202512.xlsx - Loan 70</t>
      </text>
    </comment>
    <comment ref="C23" authorId="0" shapeId="0">
      <text>
        <t>Loan: TriState Capital, AMORTIZING. Source: Meiborg_Debt_Schedule_202512.xlsx - Loan 70</t>
      </text>
    </comment>
    <comment ref="D23" authorId="0" shapeId="0">
      <text>
        <t>Interest: MAX(0, Opening * AnnualRate/12). Source: Meiborg_Debt_Schedule_202512.xlsx - Loan 70</t>
      </text>
    </comment>
    <comment ref="E23" authorId="0" shapeId="0">
      <text>
        <t>Principal: MAX(0, MIN(Opening, Payment-Interest)). Source: Meiborg_Debt_Schedule_202512.xlsx - Loan 70</t>
      </text>
    </comment>
    <comment ref="F23" authorId="0" shapeId="0">
      <text>
        <t>Closing: MAX(0, Opening - Principal). Check: must equal next period Opening.</t>
      </text>
    </comment>
    <comment ref="C24" authorId="0" shapeId="0">
      <text>
        <t>Loan: TriState Capital, AMORTIZING. Source: Meiborg_Debt_Schedule_202512.xlsx - Loan 70</t>
      </text>
    </comment>
    <comment ref="D24" authorId="0" shapeId="0">
      <text>
        <t>Interest: MAX(0, Opening * AnnualRate/12). Source: Meiborg_Debt_Schedule_202512.xlsx - Loan 70</t>
      </text>
    </comment>
    <comment ref="E24" authorId="0" shapeId="0">
      <text>
        <t>Principal: MAX(0, MIN(Opening, Payment-Interest)). Source: Meiborg_Debt_Schedule_202512.xlsx - Loan 70</t>
      </text>
    </comment>
    <comment ref="F24" authorId="0" shapeId="0">
      <text>
        <t>Closing: MAX(0, Opening - Principal). Check: must equal next period Opening.</t>
      </text>
    </comment>
    <comment ref="C25" authorId="0" shapeId="0">
      <text>
        <t>Loan: TriState Capital, AMORTIZING. Source: Meiborg_Debt_Schedule_202512.xlsx - Loan 70</t>
      </text>
    </comment>
    <comment ref="D25" authorId="0" shapeId="0">
      <text>
        <t>Interest: MAX(0, Opening * AnnualRate/12). Source: Meiborg_Debt_Schedule_202512.xlsx - Loan 70</t>
      </text>
    </comment>
    <comment ref="E25" authorId="0" shapeId="0">
      <text>
        <t>Principal: MAX(0, MIN(Opening, Payment-Interest)). Source: Meiborg_Debt_Schedule_202512.xlsx - Loan 70</t>
      </text>
    </comment>
    <comment ref="F25" authorId="0" shapeId="0">
      <text>
        <t>Closing: MAX(0, Opening - Principal). Check: must equal next period Opening.</t>
      </text>
    </comment>
    <comment ref="C26" authorId="0" shapeId="0">
      <text>
        <t>Loan: TriState Capital, AMORTIZING. Source: Meiborg_Debt_Schedule_202512.xlsx - Loan 70</t>
      </text>
    </comment>
    <comment ref="D26" authorId="0" shapeId="0">
      <text>
        <t>Interest: MAX(0, Opening * AnnualRate/12). Source: Meiborg_Debt_Schedule_202512.xlsx - Loan 70</t>
      </text>
    </comment>
    <comment ref="E26" authorId="0" shapeId="0">
      <text>
        <t>Principal: MAX(0, MIN(Opening, Payment-Interest)). Source: Meiborg_Debt_Schedule_202512.xlsx - Loan 70</t>
      </text>
    </comment>
    <comment ref="F26" authorId="0" shapeId="0">
      <text>
        <t>Closing: MAX(0, Opening - Principal). Check: must equal next period Opening.</t>
      </text>
    </comment>
    <comment ref="C27" authorId="0" shapeId="0">
      <text>
        <t>Loan: TriState Capital, AMORTIZING. Source: Meiborg_Debt_Schedule_202512.xlsx - Loan 70</t>
      </text>
    </comment>
    <comment ref="D27" authorId="0" shapeId="0">
      <text>
        <t>Interest: MAX(0, Opening * AnnualRate/12). Source: Meiborg_Debt_Schedule_202512.xlsx - Loan 70</t>
      </text>
    </comment>
    <comment ref="E27" authorId="0" shapeId="0">
      <text>
        <t>Principal: MAX(0, MIN(Opening, Payment-Interest)). Source: Meiborg_Debt_Schedule_202512.xlsx - Loan 70</t>
      </text>
    </comment>
    <comment ref="F27" authorId="0" shapeId="0">
      <text>
        <t>Closing: MAX(0, Opening - Principal). Check: must equal next period Opening.</t>
      </text>
    </comment>
    <comment ref="C28" authorId="0" shapeId="0">
      <text>
        <t>Loan: TriState Capital, AMORTIZING. Source: Meiborg_Debt_Schedule_202512.xlsx - Loan 70</t>
      </text>
    </comment>
    <comment ref="D28" authorId="0" shapeId="0">
      <text>
        <t>Interest: MAX(0, Opening * AnnualRate/12). Source: Meiborg_Debt_Schedule_202512.xlsx - Loan 70</t>
      </text>
    </comment>
    <comment ref="E28" authorId="0" shapeId="0">
      <text>
        <t>Principal: MAX(0, MIN(Opening, Payment-Interest)). Source: Meiborg_Debt_Schedule_202512.xlsx - Loan 70</t>
      </text>
    </comment>
    <comment ref="F28" authorId="0" shapeId="0">
      <text>
        <t>Closing: MAX(0, Opening - Principal). Check: must equal next period Opening.</t>
      </text>
    </comment>
    <comment ref="C29" authorId="0" shapeId="0">
      <text>
        <t>Loan: TriState Capital, AMORTIZING. Source: Meiborg_Debt_Schedule_202512.xlsx - Loan 70</t>
      </text>
    </comment>
    <comment ref="D29" authorId="0" shapeId="0">
      <text>
        <t>Interest: MAX(0, Opening * AnnualRate/12). Source: Meiborg_Debt_Schedule_202512.xlsx - Loan 70</t>
      </text>
    </comment>
    <comment ref="E29" authorId="0" shapeId="0">
      <text>
        <t>Principal: MAX(0, MIN(Opening, Payment-Interest)). Source: Meiborg_Debt_Schedule_202512.xlsx - Loan 70</t>
      </text>
    </comment>
    <comment ref="F29" authorId="0" shapeId="0">
      <text>
        <t>Closing: MAX(0, Opening - Principal). Check: must equal next period Opening.</t>
      </text>
    </comment>
    <comment ref="C30" authorId="0" shapeId="0">
      <text>
        <t>Loan: TriState Capital, AMORTIZING. Source: Meiborg_Debt_Schedule_202512.xlsx - Loan 70</t>
      </text>
    </comment>
    <comment ref="D30" authorId="0" shapeId="0">
      <text>
        <t>Interest: MAX(0, Opening * AnnualRate/12). Source: Meiborg_Debt_Schedule_202512.xlsx - Loan 70</t>
      </text>
    </comment>
    <comment ref="E30" authorId="0" shapeId="0">
      <text>
        <t>Principal: MAX(0, MIN(Opening, Payment-Interest)). Source: Meiborg_Debt_Schedule_202512.xlsx - Loan 70</t>
      </text>
    </comment>
    <comment ref="F30" authorId="0" shapeId="0">
      <text>
        <t>Closing: MAX(0, Opening - Principal). Check: must equal next period Opening.</t>
      </text>
    </comment>
    <comment ref="C31" authorId="0" shapeId="0">
      <text>
        <t>Loan: TriState Capital, AMORTIZING. Source: Meiborg_Debt_Schedule_202512.xlsx - Loan 70</t>
      </text>
    </comment>
    <comment ref="D31" authorId="0" shapeId="0">
      <text>
        <t>Interest: MAX(0, Opening * AnnualRate/12). Source: Meiborg_Debt_Schedule_202512.xlsx - Loan 70</t>
      </text>
    </comment>
    <comment ref="E31" authorId="0" shapeId="0">
      <text>
        <t>Principal: MAX(0, MIN(Opening, Payment-Interest)). Source: Meiborg_Debt_Schedule_202512.xlsx - Loan 70</t>
      </text>
    </comment>
    <comment ref="F31" authorId="0" shapeId="0">
      <text>
        <t>Closing: MAX(0, Opening - Principal). Check: must equal next period Opening.</t>
      </text>
    </comment>
    <comment ref="C32" authorId="0" shapeId="0">
      <text>
        <t>Loan: TriState Capital, AMORTIZING. Source: Meiborg_Debt_Schedule_202512.xlsx - Loan 70</t>
      </text>
    </comment>
    <comment ref="D32" authorId="0" shapeId="0">
      <text>
        <t>Interest: MAX(0, Opening * AnnualRate/12). Source: Meiborg_Debt_Schedule_202512.xlsx - Loan 70</t>
      </text>
    </comment>
    <comment ref="E32" authorId="0" shapeId="0">
      <text>
        <t>Principal: MAX(0, MIN(Opening, Payment-Interest)). Source: Meiborg_Debt_Schedule_202512.xlsx - Loan 70</t>
      </text>
    </comment>
    <comment ref="F32" authorId="0" shapeId="0">
      <text>
        <t>Closing: MAX(0, Opening - Principal). Check: must equal next period Opening.</t>
      </text>
    </comment>
    <comment ref="C33" authorId="0" shapeId="0">
      <text>
        <t>Loan: TriState Capital, AMORTIZING. Source: Meiborg_Debt_Schedule_202512.xlsx - Loan 70</t>
      </text>
    </comment>
    <comment ref="D33" authorId="0" shapeId="0">
      <text>
        <t>Interest: MAX(0, Opening * AnnualRate/12). Source: Meiborg_Debt_Schedule_202512.xlsx - Loan 70</t>
      </text>
    </comment>
    <comment ref="E33" authorId="0" shapeId="0">
      <text>
        <t>Principal: MAX(0, MIN(Opening, Payment-Interest)). Source: Meiborg_Debt_Schedule_202512.xlsx - Loan 70</t>
      </text>
    </comment>
    <comment ref="F33" authorId="0" shapeId="0">
      <text>
        <t>Closing: MAX(0, Opening - Principal). Check: must equal next period Opening.</t>
      </text>
    </comment>
    <comment ref="C34" authorId="0" shapeId="0">
      <text>
        <t>Loan: TriState Capital, AMORTIZING. Source: Meiborg_Debt_Schedule_202512.xlsx - Loan 70</t>
      </text>
    </comment>
    <comment ref="D34" authorId="0" shapeId="0">
      <text>
        <t>Interest: MAX(0, Opening * AnnualRate/12). Source: Meiborg_Debt_Schedule_202512.xlsx - Loan 70</t>
      </text>
    </comment>
    <comment ref="E34" authorId="0" shapeId="0">
      <text>
        <t>Principal: MAX(0, MIN(Opening, Payment-Interest)). Source: Meiborg_Debt_Schedule_202512.xlsx - Loan 70</t>
      </text>
    </comment>
    <comment ref="F34" authorId="0" shapeId="0">
      <text>
        <t>Closing: MAX(0, Opening - Principal). Check: must equal next period Opening.</t>
      </text>
    </comment>
    <comment ref="C35" authorId="0" shapeId="0">
      <text>
        <t>Loan: TriState Capital, AMORTIZING. Source: Meiborg_Debt_Schedule_202512.xlsx - Loan 70</t>
      </text>
    </comment>
    <comment ref="D35" authorId="0" shapeId="0">
      <text>
        <t>Interest: MAX(0, Opening * AnnualRate/12). Source: Meiborg_Debt_Schedule_202512.xlsx - Loan 70</t>
      </text>
    </comment>
    <comment ref="E35" authorId="0" shapeId="0">
      <text>
        <t>Principal: MAX(0, MIN(Opening, Payment-Interest)). Source: Meiborg_Debt_Schedule_202512.xlsx - Loan 70</t>
      </text>
    </comment>
    <comment ref="F35" authorId="0" shapeId="0">
      <text>
        <t>Closing: MAX(0, Opening - Principal). Check: must equal next period Opening.</t>
      </text>
    </comment>
    <comment ref="C36" authorId="0" shapeId="0">
      <text>
        <t>Loan: TriState Capital, AMORTIZING. Source: Meiborg_Debt_Schedule_202512.xlsx - Loan 70</t>
      </text>
    </comment>
    <comment ref="D36" authorId="0" shapeId="0">
      <text>
        <t>Interest: MAX(0, Opening * AnnualRate/12). Source: Meiborg_Debt_Schedule_202512.xlsx - Loan 70</t>
      </text>
    </comment>
    <comment ref="E36" authorId="0" shapeId="0">
      <text>
        <t>Principal: MAX(0, MIN(Opening, Payment-Interest)). Source: Meiborg_Debt_Schedule_202512.xlsx - Loan 70</t>
      </text>
    </comment>
    <comment ref="F36" authorId="0" shapeId="0">
      <text>
        <t>Closing: MAX(0, Opening - Principal). Check: must equal next period Opening.</t>
      </text>
    </comment>
    <comment ref="C37" authorId="0" shapeId="0">
      <text>
        <t>Loan: TriState Capital, AMORTIZING. Source: Meiborg_Debt_Schedule_202512.xlsx - Loan 70</t>
      </text>
    </comment>
    <comment ref="D37" authorId="0" shapeId="0">
      <text>
        <t>Interest: MAX(0, Opening * AnnualRate/12). Source: Meiborg_Debt_Schedule_202512.xlsx - Loan 70</t>
      </text>
    </comment>
    <comment ref="E37" authorId="0" shapeId="0">
      <text>
        <t>Principal: MAX(0, MIN(Opening, Payment-Interest)). Source: Meiborg_Debt_Schedule_202512.xlsx - Loan 70</t>
      </text>
    </comment>
    <comment ref="F37" authorId="0" shapeId="0">
      <text>
        <t>Closing: MAX(0, Opening - Principal). Check: must equal next period Opening.</t>
      </text>
    </comment>
    <comment ref="C38" authorId="0" shapeId="0">
      <text>
        <t>Loan: TriState Capital, AMORTIZING. Source: Meiborg_Debt_Schedule_202512.xlsx - Loan 70</t>
      </text>
    </comment>
    <comment ref="D38" authorId="0" shapeId="0">
      <text>
        <t>Interest: MAX(0, Opening * AnnualRate/12). Source: Meiborg_Debt_Schedule_202512.xlsx - Loan 70</t>
      </text>
    </comment>
    <comment ref="E38" authorId="0" shapeId="0">
      <text>
        <t>Principal: MAX(0, MIN(Opening, Payment-Interest)). Source: Meiborg_Debt_Schedule_202512.xlsx - Loan 70</t>
      </text>
    </comment>
    <comment ref="F38" authorId="0" shapeId="0">
      <text>
        <t>Closing: MAX(0, Opening - Principal). Check: must equal next period Opening.</t>
      </text>
    </comment>
    <comment ref="C39" authorId="0" shapeId="0">
      <text>
        <t>Loan: TriState Capital, AMORTIZING. Source: Meiborg_Debt_Schedule_202512.xlsx - Loan 70</t>
      </text>
    </comment>
    <comment ref="D39" authorId="0" shapeId="0">
      <text>
        <t>Interest: MAX(0, Opening * AnnualRate/12). Source: Meiborg_Debt_Schedule_202512.xlsx - Loan 70</t>
      </text>
    </comment>
    <comment ref="E39" authorId="0" shapeId="0">
      <text>
        <t>Principal: MAX(0, MIN(Opening, Payment-Interest)). Source: Meiborg_Debt_Schedule_202512.xlsx - Loan 70</t>
      </text>
    </comment>
    <comment ref="F39" authorId="0" shapeId="0">
      <text>
        <t>Closing: MAX(0, Opening - Principal). Check: must equal next period Opening.</t>
      </text>
    </comment>
    <comment ref="C40" authorId="0" shapeId="0">
      <text>
        <t>Loan: TriState Capital, AMORTIZING. Source: Meiborg_Debt_Schedule_202512.xlsx - Loan 70</t>
      </text>
    </comment>
    <comment ref="D40" authorId="0" shapeId="0">
      <text>
        <t>Interest: MAX(0, Opening * AnnualRate/12). Source: Meiborg_Debt_Schedule_202512.xlsx - Loan 70</t>
      </text>
    </comment>
    <comment ref="E40" authorId="0" shapeId="0">
      <text>
        <t>Principal: MAX(0, MIN(Opening, Payment-Interest)). Source: Meiborg_Debt_Schedule_202512.xlsx - Loan 70</t>
      </text>
    </comment>
    <comment ref="F40" authorId="0" shapeId="0">
      <text>
        <t>Closing: MAX(0, Opening - Principal). Check: must equal next period Opening.</t>
      </text>
    </comment>
    <comment ref="C41" authorId="0" shapeId="0">
      <text>
        <t>Loan: TriState Capital, AMORTIZING. Source: Meiborg_Debt_Schedule_202512.xlsx - Loan 70</t>
      </text>
    </comment>
    <comment ref="D41" authorId="0" shapeId="0">
      <text>
        <t>Interest: MAX(0, Opening * AnnualRate/12). Source: Meiborg_Debt_Schedule_202512.xlsx - Loan 70</t>
      </text>
    </comment>
    <comment ref="E41" authorId="0" shapeId="0">
      <text>
        <t>Principal: MAX(0, MIN(Opening, Payment-Interest)). Source: Meiborg_Debt_Schedule_202512.xlsx - Loan 70</t>
      </text>
    </comment>
    <comment ref="F41" authorId="0" shapeId="0">
      <text>
        <t>Closing: MAX(0, Opening - Principal). Check: must equal next period Opening.</t>
      </text>
    </comment>
    <comment ref="C42" authorId="0" shapeId="0">
      <text>
        <t>Loan: TriState Capital, AMORTIZING. Source: Meiborg_Debt_Schedule_202512.xlsx - Loan 70</t>
      </text>
    </comment>
    <comment ref="D42" authorId="0" shapeId="0">
      <text>
        <t>Interest: MAX(0, Opening * AnnualRate/12). Source: Meiborg_Debt_Schedule_202512.xlsx - Loan 70</t>
      </text>
    </comment>
    <comment ref="E42" authorId="0" shapeId="0">
      <text>
        <t>Principal: MAX(0, MIN(Opening, Payment-Interest)). Source: Meiborg_Debt_Schedule_202512.xlsx - Loan 70</t>
      </text>
    </comment>
    <comment ref="F42" authorId="0" shapeId="0">
      <text>
        <t>Closing: MAX(0, Opening - Principal). Check: must equal next period Opening.</t>
      </text>
    </comment>
    <comment ref="C43" authorId="0" shapeId="0">
      <text>
        <t>Loan: TriState Capital, AMORTIZING. Source: Meiborg_Debt_Schedule_202512.xlsx - Loan 70</t>
      </text>
    </comment>
    <comment ref="D43" authorId="0" shapeId="0">
      <text>
        <t>Interest: MAX(0, Opening * AnnualRate/12). Source: Meiborg_Debt_Schedule_202512.xlsx - Loan 70</t>
      </text>
    </comment>
    <comment ref="E43" authorId="0" shapeId="0">
      <text>
        <t>Principal: MAX(0, MIN(Opening, Payment-Interest)). Source: Meiborg_Debt_Schedule_202512.xlsx - Loan 70</t>
      </text>
    </comment>
    <comment ref="F43" authorId="0" shapeId="0">
      <text>
        <t>Closing: MAX(0, Opening - Principal). Check: must equal next period Opening.</t>
      </text>
    </comment>
    <comment ref="C44" authorId="0" shapeId="0">
      <text>
        <t>Loan: TriState Capital, AMORTIZING. Source: Meiborg_Debt_Schedule_202512.xlsx - Loan 70</t>
      </text>
    </comment>
    <comment ref="D44" authorId="0" shapeId="0">
      <text>
        <t>Interest: MAX(0, Opening * AnnualRate/12). Source: Meiborg_Debt_Schedule_202512.xlsx - Loan 70</t>
      </text>
    </comment>
    <comment ref="E44" authorId="0" shapeId="0">
      <text>
        <t>Principal: MAX(0, MIN(Opening, Payment-Interest)). Source: Meiborg_Debt_Schedule_202512.xlsx - Loan 70</t>
      </text>
    </comment>
    <comment ref="F44" authorId="0" shapeId="0">
      <text>
        <t>Closing: MAX(0, Opening - Principal). Check: must equal next period Opening.</t>
      </text>
    </comment>
    <comment ref="C45" authorId="0" shapeId="0">
      <text>
        <t>Loan: TriState Capital, AMORTIZING. Source: Meiborg_Debt_Schedule_202512.xlsx - Loan 70</t>
      </text>
    </comment>
    <comment ref="D45" authorId="0" shapeId="0">
      <text>
        <t>Interest: MAX(0, Opening * AnnualRate/12). Source: Meiborg_Debt_Schedule_202512.xlsx - Loan 70</t>
      </text>
    </comment>
    <comment ref="E45" authorId="0" shapeId="0">
      <text>
        <t>Principal: MAX(0, MIN(Opening, Payment-Interest)). Source: Meiborg_Debt_Schedule_202512.xlsx - Loan 70</t>
      </text>
    </comment>
    <comment ref="F45" authorId="0" shapeId="0">
      <text>
        <t>Closing: MAX(0, Opening - Principal). Check: must equal next period Opening.</t>
      </text>
    </comment>
    <comment ref="C46" authorId="0" shapeId="0">
      <text>
        <t>Loan: TriState Capital, AMORTIZING. Source: Meiborg_Debt_Schedule_202512.xlsx - Loan 70</t>
      </text>
    </comment>
    <comment ref="D46" authorId="0" shapeId="0">
      <text>
        <t>Interest: MAX(0, Opening * AnnualRate/12). Source: Meiborg_Debt_Schedule_202512.xlsx - Loan 70</t>
      </text>
    </comment>
    <comment ref="E46" authorId="0" shapeId="0">
      <text>
        <t>Principal: MAX(0, MIN(Opening, Payment-Interest)). Source: Meiborg_Debt_Schedule_202512.xlsx - Loan 70</t>
      </text>
    </comment>
    <comment ref="F46" authorId="0" shapeId="0">
      <text>
        <t>Closing: MAX(0, Opening - Principal). Check: must equal next period Opening.</t>
      </text>
    </comment>
    <comment ref="C47" authorId="0" shapeId="0">
      <text>
        <t>Loan: TriState Capital, AMORTIZING. Source: Meiborg_Debt_Schedule_202512.xlsx - Loan 70</t>
      </text>
    </comment>
    <comment ref="D47" authorId="0" shapeId="0">
      <text>
        <t>Interest: MAX(0, Opening * AnnualRate/12). Source: Meiborg_Debt_Schedule_202512.xlsx - Loan 70</t>
      </text>
    </comment>
    <comment ref="E47" authorId="0" shapeId="0">
      <text>
        <t>Principal: MAX(0, MIN(Opening, Payment-Interest)). Source: Meiborg_Debt_Schedule_202512.xlsx - Loan 70</t>
      </text>
    </comment>
    <comment ref="F47" authorId="0" shapeId="0">
      <text>
        <t>Closing: MAX(0, Opening - Principal). Check: must equal next period Opening.</t>
      </text>
    </comment>
    <comment ref="C48" authorId="0" shapeId="0">
      <text>
        <t>Loan: TriState Capital, AMORTIZING. Source: Meiborg_Debt_Schedule_202512.xlsx - Loan 70</t>
      </text>
    </comment>
    <comment ref="D48" authorId="0" shapeId="0">
      <text>
        <t>Interest: MAX(0, Opening * AnnualRate/12). Source: Meiborg_Debt_Schedule_202512.xlsx - Loan 70</t>
      </text>
    </comment>
    <comment ref="E48" authorId="0" shapeId="0">
      <text>
        <t>Principal: MAX(0, MIN(Opening, Payment-Interest)). Source: Meiborg_Debt_Schedule_202512.xlsx - Loan 70</t>
      </text>
    </comment>
    <comment ref="F48" authorId="0" shapeId="0">
      <text>
        <t>Closing: MAX(0, Opening - Principal). Check: must equal next period Opening.</t>
      </text>
    </comment>
    <comment ref="C53" authorId="0" shapeId="0">
      <text>
        <t>Sum of rows 23-34: Monthly interest payments</t>
      </text>
    </comment>
    <comment ref="D53" authorId="0" shapeId="0">
      <text>
        <t>Sum of rows 23-34: Monthly principal payments</t>
      </text>
    </comment>
    <comment ref="E53" authorId="0" shapeId="0">
      <text>
        <t>Links to: row 34 - Closing Balance for Dec 2026</t>
      </text>
    </comment>
    <comment ref="C54" authorId="0" shapeId="0">
      <text>
        <t>Sum of rows 35-46: Monthly interest payments</t>
      </text>
    </comment>
    <comment ref="D54" authorId="0" shapeId="0">
      <text>
        <t>Sum of rows 35-46: Monthly principal payments</t>
      </text>
    </comment>
    <comment ref="E54" authorId="0" shapeId="0">
      <text>
        <t>Links to: row 46 - Closing Balance for Dec 2027</t>
      </text>
    </comment>
    <comment ref="C55" authorId="0" shapeId="0">
      <text>
        <t>Sum of rows 47-48: Monthly interest payments</t>
      </text>
    </comment>
    <comment ref="D55" authorId="0" shapeId="0">
      <text>
        <t>Sum of rows 47-48: Monthly principal payments</t>
      </text>
    </comment>
    <comment ref="E55" authorId="0" shapeId="0">
      <text>
        <t>Links to: row 48 - Closing Balance for Dec 2028</t>
      </text>
    </comment>
    <comment ref="B59" authorId="0" shapeId="0">
      <text>
        <t>Links to: row 8 - Current Balance as of 12/31/2025. For Debt Schedule linking.</t>
      </text>
    </comment>
  </commentList>
</comments>
</file>

<file path=xl/comments/comment45.xml><?xml version="1.0" encoding="utf-8"?>
<comments xmlns="http://schemas.openxmlformats.org/spreadsheetml/2006/main">
  <authors>
    <author>Model Builder</author>
  </authors>
  <commentList>
    <comment ref="B7" authorId="0" shapeId="0">
      <text>
        <t>Source: Meiborg_Debt_Schedule_202512.xlsx - Loan 71
Extracted: 2025-12-31</t>
      </text>
    </comment>
    <comment ref="B8" authorId="0" shapeId="0">
      <text>
        <t>Source: Meiborg_Debt_Schedule_202512.xlsx - Loan 71
Extracted: 2025-12-31</t>
      </text>
    </comment>
    <comment ref="B9" authorId="0" shapeId="0">
      <text>
        <t>Loan: TriState Capital, AMORTIZING. Source: Meiborg_Debt_Schedule_202512.xlsx - Loan 71</t>
      </text>
    </comment>
    <comment ref="B10" authorId="0" shapeId="0">
      <text>
        <t>Fixed monthly payment. Source: Meiborg_Debt_Schedule_202512.xlsx - Loan 71</t>
      </text>
    </comment>
    <comment ref="C23" authorId="0" shapeId="0">
      <text>
        <t>Loan: TriState Capital, AMORTIZING. Source: Meiborg_Debt_Schedule_202512.xlsx - Loan 71</t>
      </text>
    </comment>
    <comment ref="D23" authorId="0" shapeId="0">
      <text>
        <t>Interest: MAX(0, Opening * AnnualRate/12). Source: Meiborg_Debt_Schedule_202512.xlsx - Loan 71</t>
      </text>
    </comment>
    <comment ref="E23" authorId="0" shapeId="0">
      <text>
        <t>Principal: MAX(0, MIN(Opening, Payment-Interest)). Source: Meiborg_Debt_Schedule_202512.xlsx - Loan 71</t>
      </text>
    </comment>
    <comment ref="F23" authorId="0" shapeId="0">
      <text>
        <t>Closing: MAX(0, Opening - Principal). Check: must equal next period Opening.</t>
      </text>
    </comment>
    <comment ref="C24" authorId="0" shapeId="0">
      <text>
        <t>Loan: TriState Capital, AMORTIZING. Source: Meiborg_Debt_Schedule_202512.xlsx - Loan 71</t>
      </text>
    </comment>
    <comment ref="D24" authorId="0" shapeId="0">
      <text>
        <t>Interest: MAX(0, Opening * AnnualRate/12). Source: Meiborg_Debt_Schedule_202512.xlsx - Loan 71</t>
      </text>
    </comment>
    <comment ref="E24" authorId="0" shapeId="0">
      <text>
        <t>Principal: MAX(0, MIN(Opening, Payment-Interest)). Source: Meiborg_Debt_Schedule_202512.xlsx - Loan 71</t>
      </text>
    </comment>
    <comment ref="F24" authorId="0" shapeId="0">
      <text>
        <t>Closing: MAX(0, Opening - Principal). Check: must equal next period Opening.</t>
      </text>
    </comment>
    <comment ref="C25" authorId="0" shapeId="0">
      <text>
        <t>Loan: TriState Capital, AMORTIZING. Source: Meiborg_Debt_Schedule_202512.xlsx - Loan 71</t>
      </text>
    </comment>
    <comment ref="D25" authorId="0" shapeId="0">
      <text>
        <t>Interest: MAX(0, Opening * AnnualRate/12). Source: Meiborg_Debt_Schedule_202512.xlsx - Loan 71</t>
      </text>
    </comment>
    <comment ref="E25" authorId="0" shapeId="0">
      <text>
        <t>Principal: MAX(0, MIN(Opening, Payment-Interest)). Source: Meiborg_Debt_Schedule_202512.xlsx - Loan 71</t>
      </text>
    </comment>
    <comment ref="F25" authorId="0" shapeId="0">
      <text>
        <t>Closing: MAX(0, Opening - Principal). Check: must equal next period Opening.</t>
      </text>
    </comment>
    <comment ref="C26" authorId="0" shapeId="0">
      <text>
        <t>Loan: TriState Capital, AMORTIZING. Source: Meiborg_Debt_Schedule_202512.xlsx - Loan 71</t>
      </text>
    </comment>
    <comment ref="D26" authorId="0" shapeId="0">
      <text>
        <t>Interest: MAX(0, Opening * AnnualRate/12). Source: Meiborg_Debt_Schedule_202512.xlsx - Loan 71</t>
      </text>
    </comment>
    <comment ref="E26" authorId="0" shapeId="0">
      <text>
        <t>Principal: MAX(0, MIN(Opening, Payment-Interest)). Source: Meiborg_Debt_Schedule_202512.xlsx - Loan 71</t>
      </text>
    </comment>
    <comment ref="F26" authorId="0" shapeId="0">
      <text>
        <t>Closing: MAX(0, Opening - Principal). Check: must equal next period Opening.</t>
      </text>
    </comment>
    <comment ref="C27" authorId="0" shapeId="0">
      <text>
        <t>Loan: TriState Capital, AMORTIZING. Source: Meiborg_Debt_Schedule_202512.xlsx - Loan 71</t>
      </text>
    </comment>
    <comment ref="D27" authorId="0" shapeId="0">
      <text>
        <t>Interest: MAX(0, Opening * AnnualRate/12). Source: Meiborg_Debt_Schedule_202512.xlsx - Loan 71</t>
      </text>
    </comment>
    <comment ref="E27" authorId="0" shapeId="0">
      <text>
        <t>Principal: MAX(0, MIN(Opening, Payment-Interest)). Source: Meiborg_Debt_Schedule_202512.xlsx - Loan 71</t>
      </text>
    </comment>
    <comment ref="F27" authorId="0" shapeId="0">
      <text>
        <t>Closing: MAX(0, Opening - Principal). Check: must equal next period Opening.</t>
      </text>
    </comment>
    <comment ref="C28" authorId="0" shapeId="0">
      <text>
        <t>Loan: TriState Capital, AMORTIZING. Source: Meiborg_Debt_Schedule_202512.xlsx - Loan 71</t>
      </text>
    </comment>
    <comment ref="D28" authorId="0" shapeId="0">
      <text>
        <t>Interest: MAX(0, Opening * AnnualRate/12). Source: Meiborg_Debt_Schedule_202512.xlsx - Loan 71</t>
      </text>
    </comment>
    <comment ref="E28" authorId="0" shapeId="0">
      <text>
        <t>Principal: MAX(0, MIN(Opening, Payment-Interest)). Source: Meiborg_Debt_Schedule_202512.xlsx - Loan 71</t>
      </text>
    </comment>
    <comment ref="F28" authorId="0" shapeId="0">
      <text>
        <t>Closing: MAX(0, Opening - Principal). Check: must equal next period Opening.</t>
      </text>
    </comment>
    <comment ref="C29" authorId="0" shapeId="0">
      <text>
        <t>Loan: TriState Capital, AMORTIZING. Source: Meiborg_Debt_Schedule_202512.xlsx - Loan 71</t>
      </text>
    </comment>
    <comment ref="D29" authorId="0" shapeId="0">
      <text>
        <t>Interest: MAX(0, Opening * AnnualRate/12). Source: Meiborg_Debt_Schedule_202512.xlsx - Loan 71</t>
      </text>
    </comment>
    <comment ref="E29" authorId="0" shapeId="0">
      <text>
        <t>Principal: MAX(0, MIN(Opening, Payment-Interest)). Source: Meiborg_Debt_Schedule_202512.xlsx - Loan 71</t>
      </text>
    </comment>
    <comment ref="F29" authorId="0" shapeId="0">
      <text>
        <t>Closing: MAX(0, Opening - Principal). Check: must equal next period Opening.</t>
      </text>
    </comment>
    <comment ref="C30" authorId="0" shapeId="0">
      <text>
        <t>Loan: TriState Capital, AMORTIZING. Source: Meiborg_Debt_Schedule_202512.xlsx - Loan 71</t>
      </text>
    </comment>
    <comment ref="D30" authorId="0" shapeId="0">
      <text>
        <t>Interest: MAX(0, Opening * AnnualRate/12). Source: Meiborg_Debt_Schedule_202512.xlsx - Loan 71</t>
      </text>
    </comment>
    <comment ref="E30" authorId="0" shapeId="0">
      <text>
        <t>Principal: MAX(0, MIN(Opening, Payment-Interest)). Source: Meiborg_Debt_Schedule_202512.xlsx - Loan 71</t>
      </text>
    </comment>
    <comment ref="F30" authorId="0" shapeId="0">
      <text>
        <t>Closing: MAX(0, Opening - Principal). Check: must equal next period Opening.</t>
      </text>
    </comment>
    <comment ref="C31" authorId="0" shapeId="0">
      <text>
        <t>Loan: TriState Capital, AMORTIZING. Source: Meiborg_Debt_Schedule_202512.xlsx - Loan 71</t>
      </text>
    </comment>
    <comment ref="D31" authorId="0" shapeId="0">
      <text>
        <t>Interest: MAX(0, Opening * AnnualRate/12). Source: Meiborg_Debt_Schedule_202512.xlsx - Loan 71</t>
      </text>
    </comment>
    <comment ref="E31" authorId="0" shapeId="0">
      <text>
        <t>Principal: MAX(0, MIN(Opening, Payment-Interest)). Source: Meiborg_Debt_Schedule_202512.xlsx - Loan 71</t>
      </text>
    </comment>
    <comment ref="F31" authorId="0" shapeId="0">
      <text>
        <t>Closing: MAX(0, Opening - Principal). Check: must equal next period Opening.</t>
      </text>
    </comment>
    <comment ref="C32" authorId="0" shapeId="0">
      <text>
        <t>Loan: TriState Capital, AMORTIZING. Source: Meiborg_Debt_Schedule_202512.xlsx - Loan 71</t>
      </text>
    </comment>
    <comment ref="D32" authorId="0" shapeId="0">
      <text>
        <t>Interest: MAX(0, Opening * AnnualRate/12). Source: Meiborg_Debt_Schedule_202512.xlsx - Loan 71</t>
      </text>
    </comment>
    <comment ref="E32" authorId="0" shapeId="0">
      <text>
        <t>Principal: MAX(0, MIN(Opening, Payment-Interest)). Source: Meiborg_Debt_Schedule_202512.xlsx - Loan 71</t>
      </text>
    </comment>
    <comment ref="F32" authorId="0" shapeId="0">
      <text>
        <t>Closing: MAX(0, Opening - Principal). Check: must equal next period Opening.</t>
      </text>
    </comment>
    <comment ref="C33" authorId="0" shapeId="0">
      <text>
        <t>Loan: TriState Capital, AMORTIZING. Source: Meiborg_Debt_Schedule_202512.xlsx - Loan 71</t>
      </text>
    </comment>
    <comment ref="D33" authorId="0" shapeId="0">
      <text>
        <t>Interest: MAX(0, Opening * AnnualRate/12). Source: Meiborg_Debt_Schedule_202512.xlsx - Loan 71</t>
      </text>
    </comment>
    <comment ref="E33" authorId="0" shapeId="0">
      <text>
        <t>Principal: MAX(0, MIN(Opening, Payment-Interest)). Source: Meiborg_Debt_Schedule_202512.xlsx - Loan 71</t>
      </text>
    </comment>
    <comment ref="F33" authorId="0" shapeId="0">
      <text>
        <t>Closing: MAX(0, Opening - Principal). Check: must equal next period Opening.</t>
      </text>
    </comment>
    <comment ref="C34" authorId="0" shapeId="0">
      <text>
        <t>Loan: TriState Capital, AMORTIZING. Source: Meiborg_Debt_Schedule_202512.xlsx - Loan 71</t>
      </text>
    </comment>
    <comment ref="D34" authorId="0" shapeId="0">
      <text>
        <t>Interest: MAX(0, Opening * AnnualRate/12). Source: Meiborg_Debt_Schedule_202512.xlsx - Loan 71</t>
      </text>
    </comment>
    <comment ref="E34" authorId="0" shapeId="0">
      <text>
        <t>Principal: MAX(0, MIN(Opening, Payment-Interest)). Source: Meiborg_Debt_Schedule_202512.xlsx - Loan 71</t>
      </text>
    </comment>
    <comment ref="F34" authorId="0" shapeId="0">
      <text>
        <t>Closing: MAX(0, Opening - Principal). Check: must equal next period Opening.</t>
      </text>
    </comment>
    <comment ref="C35" authorId="0" shapeId="0">
      <text>
        <t>Loan: TriState Capital, AMORTIZING. Source: Meiborg_Debt_Schedule_202512.xlsx - Loan 71</t>
      </text>
    </comment>
    <comment ref="D35" authorId="0" shapeId="0">
      <text>
        <t>Interest: MAX(0, Opening * AnnualRate/12). Source: Meiborg_Debt_Schedule_202512.xlsx - Loan 71</t>
      </text>
    </comment>
    <comment ref="E35" authorId="0" shapeId="0">
      <text>
        <t>Principal: MAX(0, MIN(Opening, Payment-Interest)). Source: Meiborg_Debt_Schedule_202512.xlsx - Loan 71</t>
      </text>
    </comment>
    <comment ref="F35" authorId="0" shapeId="0">
      <text>
        <t>Closing: MAX(0, Opening - Principal). Check: must equal next period Opening.</t>
      </text>
    </comment>
    <comment ref="C36" authorId="0" shapeId="0">
      <text>
        <t>Loan: TriState Capital, AMORTIZING. Source: Meiborg_Debt_Schedule_202512.xlsx - Loan 71</t>
      </text>
    </comment>
    <comment ref="D36" authorId="0" shapeId="0">
      <text>
        <t>Interest: MAX(0, Opening * AnnualRate/12). Source: Meiborg_Debt_Schedule_202512.xlsx - Loan 71</t>
      </text>
    </comment>
    <comment ref="E36" authorId="0" shapeId="0">
      <text>
        <t>Principal: MAX(0, MIN(Opening, Payment-Interest)). Source: Meiborg_Debt_Schedule_202512.xlsx - Loan 71</t>
      </text>
    </comment>
    <comment ref="F36" authorId="0" shapeId="0">
      <text>
        <t>Closing: MAX(0, Opening - Principal). Check: must equal next period Opening.</t>
      </text>
    </comment>
    <comment ref="C37" authorId="0" shapeId="0">
      <text>
        <t>Loan: TriState Capital, AMORTIZING. Source: Meiborg_Debt_Schedule_202512.xlsx - Loan 71</t>
      </text>
    </comment>
    <comment ref="D37" authorId="0" shapeId="0">
      <text>
        <t>Interest: MAX(0, Opening * AnnualRate/12). Source: Meiborg_Debt_Schedule_202512.xlsx - Loan 71</t>
      </text>
    </comment>
    <comment ref="E37" authorId="0" shapeId="0">
      <text>
        <t>Principal: MAX(0, MIN(Opening, Payment-Interest)). Source: Meiborg_Debt_Schedule_202512.xlsx - Loan 71</t>
      </text>
    </comment>
    <comment ref="F37" authorId="0" shapeId="0">
      <text>
        <t>Closing: MAX(0, Opening - Principal). Check: must equal next period Opening.</t>
      </text>
    </comment>
    <comment ref="C38" authorId="0" shapeId="0">
      <text>
        <t>Loan: TriState Capital, AMORTIZING. Source: Meiborg_Debt_Schedule_202512.xlsx - Loan 71</t>
      </text>
    </comment>
    <comment ref="D38" authorId="0" shapeId="0">
      <text>
        <t>Interest: MAX(0, Opening * AnnualRate/12). Source: Meiborg_Debt_Schedule_202512.xlsx - Loan 71</t>
      </text>
    </comment>
    <comment ref="E38" authorId="0" shapeId="0">
      <text>
        <t>Principal: MAX(0, MIN(Opening, Payment-Interest)). Source: Meiborg_Debt_Schedule_202512.xlsx - Loan 71</t>
      </text>
    </comment>
    <comment ref="F38" authorId="0" shapeId="0">
      <text>
        <t>Closing: MAX(0, Opening - Principal). Check: must equal next period Opening.</t>
      </text>
    </comment>
    <comment ref="C39" authorId="0" shapeId="0">
      <text>
        <t>Loan: TriState Capital, AMORTIZING. Source: Meiborg_Debt_Schedule_202512.xlsx - Loan 71</t>
      </text>
    </comment>
    <comment ref="D39" authorId="0" shapeId="0">
      <text>
        <t>Interest: MAX(0, Opening * AnnualRate/12). Source: Meiborg_Debt_Schedule_202512.xlsx - Loan 71</t>
      </text>
    </comment>
    <comment ref="E39" authorId="0" shapeId="0">
      <text>
        <t>Principal: MAX(0, MIN(Opening, Payment-Interest)). Source: Meiborg_Debt_Schedule_202512.xlsx - Loan 71</t>
      </text>
    </comment>
    <comment ref="F39" authorId="0" shapeId="0">
      <text>
        <t>Closing: MAX(0, Opening - Principal). Check: must equal next period Opening.</t>
      </text>
    </comment>
    <comment ref="C40" authorId="0" shapeId="0">
      <text>
        <t>Loan: TriState Capital, AMORTIZING. Source: Meiborg_Debt_Schedule_202512.xlsx - Loan 71</t>
      </text>
    </comment>
    <comment ref="D40" authorId="0" shapeId="0">
      <text>
        <t>Interest: MAX(0, Opening * AnnualRate/12). Source: Meiborg_Debt_Schedule_202512.xlsx - Loan 71</t>
      </text>
    </comment>
    <comment ref="E40" authorId="0" shapeId="0">
      <text>
        <t>Principal: MAX(0, MIN(Opening, Payment-Interest)). Source: Meiborg_Debt_Schedule_202512.xlsx - Loan 71</t>
      </text>
    </comment>
    <comment ref="F40" authorId="0" shapeId="0">
      <text>
        <t>Closing: MAX(0, Opening - Principal). Check: must equal next period Opening.</t>
      </text>
    </comment>
    <comment ref="C41" authorId="0" shapeId="0">
      <text>
        <t>Loan: TriState Capital, AMORTIZING. Source: Meiborg_Debt_Schedule_202512.xlsx - Loan 71</t>
      </text>
    </comment>
    <comment ref="D41" authorId="0" shapeId="0">
      <text>
        <t>Interest: MAX(0, Opening * AnnualRate/12). Source: Meiborg_Debt_Schedule_202512.xlsx - Loan 71</t>
      </text>
    </comment>
    <comment ref="E41" authorId="0" shapeId="0">
      <text>
        <t>Principal: MAX(0, MIN(Opening, Payment-Interest)). Source: Meiborg_Debt_Schedule_202512.xlsx - Loan 71</t>
      </text>
    </comment>
    <comment ref="F41" authorId="0" shapeId="0">
      <text>
        <t>Closing: MAX(0, Opening - Principal). Check: must equal next period Opening.</t>
      </text>
    </comment>
    <comment ref="C42" authorId="0" shapeId="0">
      <text>
        <t>Loan: TriState Capital, AMORTIZING. Source: Meiborg_Debt_Schedule_202512.xlsx - Loan 71</t>
      </text>
    </comment>
    <comment ref="D42" authorId="0" shapeId="0">
      <text>
        <t>Interest: MAX(0, Opening * AnnualRate/12). Source: Meiborg_Debt_Schedule_202512.xlsx - Loan 71</t>
      </text>
    </comment>
    <comment ref="E42" authorId="0" shapeId="0">
      <text>
        <t>Principal: MAX(0, MIN(Opening, Payment-Interest)). Source: Meiborg_Debt_Schedule_202512.xlsx - Loan 71</t>
      </text>
    </comment>
    <comment ref="F42" authorId="0" shapeId="0">
      <text>
        <t>Closing: MAX(0, Opening - Principal). Check: must equal next period Opening.</t>
      </text>
    </comment>
    <comment ref="C43" authorId="0" shapeId="0">
      <text>
        <t>Loan: TriState Capital, AMORTIZING. Source: Meiborg_Debt_Schedule_202512.xlsx - Loan 71</t>
      </text>
    </comment>
    <comment ref="D43" authorId="0" shapeId="0">
      <text>
        <t>Interest: MAX(0, Opening * AnnualRate/12). Source: Meiborg_Debt_Schedule_202512.xlsx - Loan 71</t>
      </text>
    </comment>
    <comment ref="E43" authorId="0" shapeId="0">
      <text>
        <t>Principal: MAX(0, MIN(Opening, Payment-Interest)). Source: Meiborg_Debt_Schedule_202512.xlsx - Loan 71</t>
      </text>
    </comment>
    <comment ref="F43" authorId="0" shapeId="0">
      <text>
        <t>Closing: MAX(0, Opening - Principal). Check: must equal next period Opening.</t>
      </text>
    </comment>
    <comment ref="C44" authorId="0" shapeId="0">
      <text>
        <t>Loan: TriState Capital, AMORTIZING. Source: Meiborg_Debt_Schedule_202512.xlsx - Loan 71</t>
      </text>
    </comment>
    <comment ref="D44" authorId="0" shapeId="0">
      <text>
        <t>Interest: MAX(0, Opening * AnnualRate/12). Source: Meiborg_Debt_Schedule_202512.xlsx - Loan 71</t>
      </text>
    </comment>
    <comment ref="E44" authorId="0" shapeId="0">
      <text>
        <t>Principal: MAX(0, MIN(Opening, Payment-Interest)). Source: Meiborg_Debt_Schedule_202512.xlsx - Loan 71</t>
      </text>
    </comment>
    <comment ref="F44" authorId="0" shapeId="0">
      <text>
        <t>Closing: MAX(0, Opening - Principal). Check: must equal next period Opening.</t>
      </text>
    </comment>
    <comment ref="C45" authorId="0" shapeId="0">
      <text>
        <t>Loan: TriState Capital, AMORTIZING. Source: Meiborg_Debt_Schedule_202512.xlsx - Loan 71</t>
      </text>
    </comment>
    <comment ref="D45" authorId="0" shapeId="0">
      <text>
        <t>Interest: MAX(0, Opening * AnnualRate/12). Source: Meiborg_Debt_Schedule_202512.xlsx - Loan 71</t>
      </text>
    </comment>
    <comment ref="E45" authorId="0" shapeId="0">
      <text>
        <t>Principal: MAX(0, MIN(Opening, Payment-Interest)). Source: Meiborg_Debt_Schedule_202512.xlsx - Loan 71</t>
      </text>
    </comment>
    <comment ref="F45" authorId="0" shapeId="0">
      <text>
        <t>Closing: MAX(0, Opening - Principal). Check: must equal next period Opening.</t>
      </text>
    </comment>
    <comment ref="C46" authorId="0" shapeId="0">
      <text>
        <t>Loan: TriState Capital, AMORTIZING. Source: Meiborg_Debt_Schedule_202512.xlsx - Loan 71</t>
      </text>
    </comment>
    <comment ref="D46" authorId="0" shapeId="0">
      <text>
        <t>Interest: MAX(0, Opening * AnnualRate/12). Source: Meiborg_Debt_Schedule_202512.xlsx - Loan 71</t>
      </text>
    </comment>
    <comment ref="E46" authorId="0" shapeId="0">
      <text>
        <t>Principal: MAX(0, MIN(Opening, Payment-Interest)). Source: Meiborg_Debt_Schedule_202512.xlsx - Loan 71</t>
      </text>
    </comment>
    <comment ref="F46" authorId="0" shapeId="0">
      <text>
        <t>Closing: MAX(0, Opening - Principal). Check: must equal next period Opening.</t>
      </text>
    </comment>
    <comment ref="C47" authorId="0" shapeId="0">
      <text>
        <t>Loan: TriState Capital, AMORTIZING. Source: Meiborg_Debt_Schedule_202512.xlsx - Loan 71</t>
      </text>
    </comment>
    <comment ref="D47" authorId="0" shapeId="0">
      <text>
        <t>Interest: MAX(0, Opening * AnnualRate/12). Source: Meiborg_Debt_Schedule_202512.xlsx - Loan 71</t>
      </text>
    </comment>
    <comment ref="E47" authorId="0" shapeId="0">
      <text>
        <t>Principal: MAX(0, MIN(Opening, Payment-Interest)). Source: Meiborg_Debt_Schedule_202512.xlsx - Loan 71</t>
      </text>
    </comment>
    <comment ref="F47" authorId="0" shapeId="0">
      <text>
        <t>Closing: MAX(0, Opening - Principal). Check: must equal next period Opening.</t>
      </text>
    </comment>
    <comment ref="C48" authorId="0" shapeId="0">
      <text>
        <t>Loan: TriState Capital, AMORTIZING. Source: Meiborg_Debt_Schedule_202512.xlsx - Loan 71</t>
      </text>
    </comment>
    <comment ref="D48" authorId="0" shapeId="0">
      <text>
        <t>Interest: MAX(0, Opening * AnnualRate/12). Source: Meiborg_Debt_Schedule_202512.xlsx - Loan 71</t>
      </text>
    </comment>
    <comment ref="E48" authorId="0" shapeId="0">
      <text>
        <t>Principal: MAX(0, MIN(Opening, Payment-Interest)). Source: Meiborg_Debt_Schedule_202512.xlsx - Loan 71</t>
      </text>
    </comment>
    <comment ref="F48" authorId="0" shapeId="0">
      <text>
        <t>Closing: MAX(0, Opening - Principal). Check: must equal next period Opening.</t>
      </text>
    </comment>
    <comment ref="C49" authorId="0" shapeId="0">
      <text>
        <t>Loan: TriState Capital, AMORTIZING. Source: Meiborg_Debt_Schedule_202512.xlsx - Loan 71</t>
      </text>
    </comment>
    <comment ref="D49" authorId="0" shapeId="0">
      <text>
        <t>Interest: MAX(0, Opening * AnnualRate/12). Source: Meiborg_Debt_Schedule_202512.xlsx - Loan 71</t>
      </text>
    </comment>
    <comment ref="E49" authorId="0" shapeId="0">
      <text>
        <t>Principal: MAX(0, MIN(Opening, Payment-Interest)). Source: Meiborg_Debt_Schedule_202512.xlsx - Loan 71</t>
      </text>
    </comment>
    <comment ref="F49" authorId="0" shapeId="0">
      <text>
        <t>Closing: MAX(0, Opening - Principal). Check: must equal next period Opening.</t>
      </text>
    </comment>
    <comment ref="C50" authorId="0" shapeId="0">
      <text>
        <t>Loan: TriState Capital, AMORTIZING. Source: Meiborg_Debt_Schedule_202512.xlsx - Loan 71</t>
      </text>
    </comment>
    <comment ref="D50" authorId="0" shapeId="0">
      <text>
        <t>Interest: MAX(0, Opening * AnnualRate/12). Source: Meiborg_Debt_Schedule_202512.xlsx - Loan 71</t>
      </text>
    </comment>
    <comment ref="E50" authorId="0" shapeId="0">
      <text>
        <t>Principal: MAX(0, MIN(Opening, Payment-Interest)). Source: Meiborg_Debt_Schedule_202512.xlsx - Loan 71</t>
      </text>
    </comment>
    <comment ref="F50" authorId="0" shapeId="0">
      <text>
        <t>Closing: MAX(0, Opening - Principal). Check: must equal next period Opening.</t>
      </text>
    </comment>
    <comment ref="C51" authorId="0" shapeId="0">
      <text>
        <t>Loan: TriState Capital, AMORTIZING. Source: Meiborg_Debt_Schedule_202512.xlsx - Loan 71</t>
      </text>
    </comment>
    <comment ref="D51" authorId="0" shapeId="0">
      <text>
        <t>Interest: MAX(0, Opening * AnnualRate/12). Source: Meiborg_Debt_Schedule_202512.xlsx - Loan 71</t>
      </text>
    </comment>
    <comment ref="E51" authorId="0" shapeId="0">
      <text>
        <t>Principal: MAX(0, MIN(Opening, Payment-Interest)). Source: Meiborg_Debt_Schedule_202512.xlsx - Loan 71</t>
      </text>
    </comment>
    <comment ref="F51" authorId="0" shapeId="0">
      <text>
        <t>Closing: MAX(0, Opening - Principal). Check: must equal next period Opening.</t>
      </text>
    </comment>
    <comment ref="C52" authorId="0" shapeId="0">
      <text>
        <t>Loan: TriState Capital, AMORTIZING. Source: Meiborg_Debt_Schedule_202512.xlsx - Loan 71</t>
      </text>
    </comment>
    <comment ref="D52" authorId="0" shapeId="0">
      <text>
        <t>Interest: MAX(0, Opening * AnnualRate/12). Source: Meiborg_Debt_Schedule_202512.xlsx - Loan 71</t>
      </text>
    </comment>
    <comment ref="E52" authorId="0" shapeId="0">
      <text>
        <t>Principal: MAX(0, MIN(Opening, Payment-Interest)). Source: Meiborg_Debt_Schedule_202512.xlsx - Loan 71</t>
      </text>
    </comment>
    <comment ref="F52" authorId="0" shapeId="0">
      <text>
        <t>Closing: MAX(0, Opening - Principal). Check: must equal next period Opening.</t>
      </text>
    </comment>
    <comment ref="C53" authorId="0" shapeId="0">
      <text>
        <t>Loan: TriState Capital, AMORTIZING. Source: Meiborg_Debt_Schedule_202512.xlsx - Loan 71</t>
      </text>
    </comment>
    <comment ref="D53" authorId="0" shapeId="0">
      <text>
        <t>Interest: MAX(0, Opening * AnnualRate/12). Source: Meiborg_Debt_Schedule_202512.xlsx - Loan 71</t>
      </text>
    </comment>
    <comment ref="E53" authorId="0" shapeId="0">
      <text>
        <t>Principal: MAX(0, MIN(Opening, Payment-Interest)). Source: Meiborg_Debt_Schedule_202512.xlsx - Loan 71</t>
      </text>
    </comment>
    <comment ref="F53" authorId="0" shapeId="0">
      <text>
        <t>Closing: MAX(0, Opening - Principal). Check: must equal next period Opening.</t>
      </text>
    </comment>
    <comment ref="C54" authorId="0" shapeId="0">
      <text>
        <t>Loan: TriState Capital, AMORTIZING. Source: Meiborg_Debt_Schedule_202512.xlsx - Loan 71</t>
      </text>
    </comment>
    <comment ref="D54" authorId="0" shapeId="0">
      <text>
        <t>Interest: MAX(0, Opening * AnnualRate/12). Source: Meiborg_Debt_Schedule_202512.xlsx - Loan 71</t>
      </text>
    </comment>
    <comment ref="E54" authorId="0" shapeId="0">
      <text>
        <t>Principal: MAX(0, MIN(Opening, Payment-Interest)). Source: Meiborg_Debt_Schedule_202512.xlsx - Loan 71</t>
      </text>
    </comment>
    <comment ref="F54" authorId="0" shapeId="0">
      <text>
        <t>Closing: MAX(0, Opening - Principal). Check: must equal next period Opening.</t>
      </text>
    </comment>
    <comment ref="C55" authorId="0" shapeId="0">
      <text>
        <t>Loan: TriState Capital, AMORTIZING. Source: Meiborg_Debt_Schedule_202512.xlsx - Loan 71</t>
      </text>
    </comment>
    <comment ref="D55" authorId="0" shapeId="0">
      <text>
        <t>Interest: MAX(0, Opening * AnnualRate/12). Source: Meiborg_Debt_Schedule_202512.xlsx - Loan 71</t>
      </text>
    </comment>
    <comment ref="E55" authorId="0" shapeId="0">
      <text>
        <t>Principal: MAX(0, MIN(Opening, Payment-Interest)). Source: Meiborg_Debt_Schedule_202512.xlsx - Loan 71</t>
      </text>
    </comment>
    <comment ref="F55" authorId="0" shapeId="0">
      <text>
        <t>Closing: MAX(0, Opening - Principal). Check: must equal next period Opening.</t>
      </text>
    </comment>
    <comment ref="C56" authorId="0" shapeId="0">
      <text>
        <t>Loan: TriState Capital, AMORTIZING. Source: Meiborg_Debt_Schedule_202512.xlsx - Loan 71</t>
      </text>
    </comment>
    <comment ref="D56" authorId="0" shapeId="0">
      <text>
        <t>Interest: MAX(0, Opening * AnnualRate/12). Source: Meiborg_Debt_Schedule_202512.xlsx - Loan 71</t>
      </text>
    </comment>
    <comment ref="E56" authorId="0" shapeId="0">
      <text>
        <t>Principal: MAX(0, MIN(Opening, Payment-Interest)). Source: Meiborg_Debt_Schedule_202512.xlsx - Loan 71</t>
      </text>
    </comment>
    <comment ref="F56" authorId="0" shapeId="0">
      <text>
        <t>Closing: MAX(0, Opening - Principal). Check: must equal next period Opening.</t>
      </text>
    </comment>
    <comment ref="C57" authorId="0" shapeId="0">
      <text>
        <t>Loan: TriState Capital, AMORTIZING. Source: Meiborg_Debt_Schedule_202512.xlsx - Loan 71</t>
      </text>
    </comment>
    <comment ref="D57" authorId="0" shapeId="0">
      <text>
        <t>Interest: MAX(0, Opening * AnnualRate/12). Source: Meiborg_Debt_Schedule_202512.xlsx - Loan 71</t>
      </text>
    </comment>
    <comment ref="E57" authorId="0" shapeId="0">
      <text>
        <t>Principal: MAX(0, MIN(Opening, Payment-Interest)). Source: Meiborg_Debt_Schedule_202512.xlsx - Loan 71</t>
      </text>
    </comment>
    <comment ref="F57" authorId="0" shapeId="0">
      <text>
        <t>Closing: MAX(0, Opening - Principal). Check: must equal next period Opening.</t>
      </text>
    </comment>
    <comment ref="C58" authorId="0" shapeId="0">
      <text>
        <t>Loan: TriState Capital, AMORTIZING. Source: Meiborg_Debt_Schedule_202512.xlsx - Loan 71</t>
      </text>
    </comment>
    <comment ref="D58" authorId="0" shapeId="0">
      <text>
        <t>Interest: MAX(0, Opening * AnnualRate/12). Source: Meiborg_Debt_Schedule_202512.xlsx - Loan 71</t>
      </text>
    </comment>
    <comment ref="E58" authorId="0" shapeId="0">
      <text>
        <t>Principal: MAX(0, MIN(Opening, Payment-Interest)). Source: Meiborg_Debt_Schedule_202512.xlsx - Loan 71</t>
      </text>
    </comment>
    <comment ref="F58" authorId="0" shapeId="0">
      <text>
        <t>Closing: MAX(0, Opening - Principal). Check: must equal next period Opening.</t>
      </text>
    </comment>
    <comment ref="C59" authorId="0" shapeId="0">
      <text>
        <t>Loan: TriState Capital, AMORTIZING. Source: Meiborg_Debt_Schedule_202512.xlsx - Loan 71</t>
      </text>
    </comment>
    <comment ref="D59" authorId="0" shapeId="0">
      <text>
        <t>Interest: MAX(0, Opening * AnnualRate/12). Source: Meiborg_Debt_Schedule_202512.xlsx - Loan 71</t>
      </text>
    </comment>
    <comment ref="E59" authorId="0" shapeId="0">
      <text>
        <t>Principal: MAX(0, MIN(Opening, Payment-Interest)). Source: Meiborg_Debt_Schedule_202512.xlsx - Loan 71</t>
      </text>
    </comment>
    <comment ref="F59" authorId="0" shapeId="0">
      <text>
        <t>Closing: MAX(0, Opening - Principal). Check: must equal next period Opening.</t>
      </text>
    </comment>
    <comment ref="C60" authorId="0" shapeId="0">
      <text>
        <t>Loan: TriState Capital, AMORTIZING. Source: Meiborg_Debt_Schedule_202512.xlsx - Loan 71</t>
      </text>
    </comment>
    <comment ref="D60" authorId="0" shapeId="0">
      <text>
        <t>Interest: MAX(0, Opening * AnnualRate/12). Source: Meiborg_Debt_Schedule_202512.xlsx - Loan 71</t>
      </text>
    </comment>
    <comment ref="E60" authorId="0" shapeId="0">
      <text>
        <t>Principal: MAX(0, MIN(Opening, Payment-Interest)). Source: Meiborg_Debt_Schedule_202512.xlsx - Loan 71</t>
      </text>
    </comment>
    <comment ref="F60" authorId="0" shapeId="0">
      <text>
        <t>Closing: MAX(0, Opening - Principal). Check: must equal next period Opening.</t>
      </text>
    </comment>
    <comment ref="C61" authorId="0" shapeId="0">
      <text>
        <t>Loan: TriState Capital, AMORTIZING. Source: Meiborg_Debt_Schedule_202512.xlsx - Loan 71</t>
      </text>
    </comment>
    <comment ref="D61" authorId="0" shapeId="0">
      <text>
        <t>Interest: MAX(0, Opening * AnnualRate/12). Source: Meiborg_Debt_Schedule_202512.xlsx - Loan 71</t>
      </text>
    </comment>
    <comment ref="E61" authorId="0" shapeId="0">
      <text>
        <t>Principal: MAX(0, MIN(Opening, Payment-Interest)). Source: Meiborg_Debt_Schedule_202512.xlsx - Loan 71</t>
      </text>
    </comment>
    <comment ref="F61" authorId="0" shapeId="0">
      <text>
        <t>Closing: MAX(0, Opening - Principal). Check: must equal next period Opening.</t>
      </text>
    </comment>
    <comment ref="C62" authorId="0" shapeId="0">
      <text>
        <t>Loan: TriState Capital, AMORTIZING. Source: Meiborg_Debt_Schedule_202512.xlsx - Loan 71</t>
      </text>
    </comment>
    <comment ref="D62" authorId="0" shapeId="0">
      <text>
        <t>Interest: MAX(0, Opening * AnnualRate/12). Source: Meiborg_Debt_Schedule_202512.xlsx - Loan 71</t>
      </text>
    </comment>
    <comment ref="E62" authorId="0" shapeId="0">
      <text>
        <t>Principal: MAX(0, MIN(Opening, Payment-Interest)). Source: Meiborg_Debt_Schedule_202512.xlsx - Loan 71</t>
      </text>
    </comment>
    <comment ref="F62" authorId="0" shapeId="0">
      <text>
        <t>Closing: MAX(0, Opening - Principal). Check: must equal next period Opening.</t>
      </text>
    </comment>
    <comment ref="C63" authorId="0" shapeId="0">
      <text>
        <t>Loan: TriState Capital, AMORTIZING. Source: Meiborg_Debt_Schedule_202512.xlsx - Loan 71</t>
      </text>
    </comment>
    <comment ref="D63" authorId="0" shapeId="0">
      <text>
        <t>Interest: MAX(0, Opening * AnnualRate/12). Source: Meiborg_Debt_Schedule_202512.xlsx - Loan 71</t>
      </text>
    </comment>
    <comment ref="E63" authorId="0" shapeId="0">
      <text>
        <t>Principal: MAX(0, MIN(Opening, Payment-Interest)). Source: Meiborg_Debt_Schedule_202512.xlsx - Loan 71</t>
      </text>
    </comment>
    <comment ref="F63" authorId="0" shapeId="0">
      <text>
        <t>Closing: MAX(0, Opening - Principal). Check: must equal next period Opening.</t>
      </text>
    </comment>
    <comment ref="C64" authorId="0" shapeId="0">
      <text>
        <t>Loan: TriState Capital, AMORTIZING. Source: Meiborg_Debt_Schedule_202512.xlsx - Loan 71</t>
      </text>
    </comment>
    <comment ref="D64" authorId="0" shapeId="0">
      <text>
        <t>Interest: MAX(0, Opening * AnnualRate/12). Source: Meiborg_Debt_Schedule_202512.xlsx - Loan 71</t>
      </text>
    </comment>
    <comment ref="E64" authorId="0" shapeId="0">
      <text>
        <t>Principal: MAX(0, MIN(Opening, Payment-Interest)). Source: Meiborg_Debt_Schedule_202512.xlsx - Loan 71</t>
      </text>
    </comment>
    <comment ref="F64" authorId="0" shapeId="0">
      <text>
        <t>Closing: MAX(0, Opening - Principal). Check: must equal next period Opening.</t>
      </text>
    </comment>
    <comment ref="C65" authorId="0" shapeId="0">
      <text>
        <t>Loan: TriState Capital, AMORTIZING. Source: Meiborg_Debt_Schedule_202512.xlsx - Loan 71</t>
      </text>
    </comment>
    <comment ref="D65" authorId="0" shapeId="0">
      <text>
        <t>Interest: MAX(0, Opening * AnnualRate/12). Source: Meiborg_Debt_Schedule_202512.xlsx - Loan 71</t>
      </text>
    </comment>
    <comment ref="E65" authorId="0" shapeId="0">
      <text>
        <t>Principal: MAX(0, MIN(Opening, Payment-Interest)). Source: Meiborg_Debt_Schedule_202512.xlsx - Loan 71</t>
      </text>
    </comment>
    <comment ref="F65" authorId="0" shapeId="0">
      <text>
        <t>Closing: MAX(0, Opening - Principal). Check: must equal next period Opening.</t>
      </text>
    </comment>
    <comment ref="C66" authorId="0" shapeId="0">
      <text>
        <t>Loan: TriState Capital, AMORTIZING. Source: Meiborg_Debt_Schedule_202512.xlsx - Loan 71</t>
      </text>
    </comment>
    <comment ref="D66" authorId="0" shapeId="0">
      <text>
        <t>Interest: MAX(0, Opening * AnnualRate/12). Source: Meiborg_Debt_Schedule_202512.xlsx - Loan 71</t>
      </text>
    </comment>
    <comment ref="E66" authorId="0" shapeId="0">
      <text>
        <t>Principal: MAX(0, MIN(Opening, Payment-Interest)). Source: Meiborg_Debt_Schedule_202512.xlsx - Loan 71</t>
      </text>
    </comment>
    <comment ref="F66" authorId="0" shapeId="0">
      <text>
        <t>Closing: MAX(0, Opening - Principal). Check: must equal next period Opening.</t>
      </text>
    </comment>
    <comment ref="C67" authorId="0" shapeId="0">
      <text>
        <t>Loan: TriState Capital, AMORTIZING. Source: Meiborg_Debt_Schedule_202512.xlsx - Loan 71</t>
      </text>
    </comment>
    <comment ref="D67" authorId="0" shapeId="0">
      <text>
        <t>Interest: MAX(0, Opening * AnnualRate/12). Source: Meiborg_Debt_Schedule_202512.xlsx - Loan 71</t>
      </text>
    </comment>
    <comment ref="E67" authorId="0" shapeId="0">
      <text>
        <t>Principal: MAX(0, MIN(Opening, Payment-Interest)). Source: Meiborg_Debt_Schedule_202512.xlsx - Loan 71</t>
      </text>
    </comment>
    <comment ref="F67" authorId="0" shapeId="0">
      <text>
        <t>Closing: MAX(0, Opening - Principal). Check: must equal next period Opening.</t>
      </text>
    </comment>
    <comment ref="C68" authorId="0" shapeId="0">
      <text>
        <t>Loan: TriState Capital, AMORTIZING. Source: Meiborg_Debt_Schedule_202512.xlsx - Loan 71</t>
      </text>
    </comment>
    <comment ref="D68" authorId="0" shapeId="0">
      <text>
        <t>Interest: MAX(0, Opening * AnnualRate/12). Source: Meiborg_Debt_Schedule_202512.xlsx - Loan 71</t>
      </text>
    </comment>
    <comment ref="E68" authorId="0" shapeId="0">
      <text>
        <t>Principal: MAX(0, MIN(Opening, Payment-Interest)). Source: Meiborg_Debt_Schedule_202512.xlsx - Loan 71</t>
      </text>
    </comment>
    <comment ref="F68" authorId="0" shapeId="0">
      <text>
        <t>Closing: MAX(0, Opening - Principal). Check: must equal next period Opening.</t>
      </text>
    </comment>
    <comment ref="C69" authorId="0" shapeId="0">
      <text>
        <t>Loan: TriState Capital, AMORTIZING. Source: Meiborg_Debt_Schedule_202512.xlsx - Loan 71</t>
      </text>
    </comment>
    <comment ref="D69" authorId="0" shapeId="0">
      <text>
        <t>Interest: MAX(0, Opening * AnnualRate/12). Source: Meiborg_Debt_Schedule_202512.xlsx - Loan 71</t>
      </text>
    </comment>
    <comment ref="E69" authorId="0" shapeId="0">
      <text>
        <t>Principal: MAX(0, MIN(Opening, Payment-Interest)). Source: Meiborg_Debt_Schedule_202512.xlsx - Loan 71</t>
      </text>
    </comment>
    <comment ref="F69" authorId="0" shapeId="0">
      <text>
        <t>Closing: MAX(0, Opening - Principal). Check: must equal next period Opening.</t>
      </text>
    </comment>
    <comment ref="C74" authorId="0" shapeId="0">
      <text>
        <t>Sum of rows 23-34: Monthly interest payments</t>
      </text>
    </comment>
    <comment ref="D74" authorId="0" shapeId="0">
      <text>
        <t>Sum of rows 23-34: Monthly principal payments</t>
      </text>
    </comment>
    <comment ref="E74" authorId="0" shapeId="0">
      <text>
        <t>Links to: row 34 - Closing Balance for Dec 2026</t>
      </text>
    </comment>
    <comment ref="C75" authorId="0" shapeId="0">
      <text>
        <t>Sum of rows 35-46: Monthly interest payments</t>
      </text>
    </comment>
    <comment ref="D75" authorId="0" shapeId="0">
      <text>
        <t>Sum of rows 35-46: Monthly principal payments</t>
      </text>
    </comment>
    <comment ref="E75" authorId="0" shapeId="0">
      <text>
        <t>Links to: row 46 - Closing Balance for Dec 2027</t>
      </text>
    </comment>
    <comment ref="C76" authorId="0" shapeId="0">
      <text>
        <t>Sum of rows 47-58: Monthly interest payments</t>
      </text>
    </comment>
    <comment ref="D76" authorId="0" shapeId="0">
      <text>
        <t>Sum of rows 47-58: Monthly principal payments</t>
      </text>
    </comment>
    <comment ref="E76" authorId="0" shapeId="0">
      <text>
        <t>Links to: row 58 - Closing Balance for Dec 2028</t>
      </text>
    </comment>
    <comment ref="C77" authorId="0" shapeId="0">
      <text>
        <t>Sum of rows 59-69: Monthly interest payments</t>
      </text>
    </comment>
    <comment ref="D77" authorId="0" shapeId="0">
      <text>
        <t>Sum of rows 59-69: Monthly principal payments</t>
      </text>
    </comment>
    <comment ref="E77" authorId="0" shapeId="0">
      <text>
        <t>Links to: row 69 - Closing Balance for Dec 2029</t>
      </text>
    </comment>
    <comment ref="B81" authorId="0" shapeId="0">
      <text>
        <t>Links to: row 8 - Current Balance as of 12/31/2025. For Debt Schedule linking.</t>
      </text>
    </comment>
  </commentList>
</comments>
</file>

<file path=xl/comments/comment46.xml><?xml version="1.0" encoding="utf-8"?>
<comments xmlns="http://schemas.openxmlformats.org/spreadsheetml/2006/main">
  <authors>
    <author>Model Builder</author>
  </authors>
  <commentList>
    <comment ref="B7" authorId="0" shapeId="0">
      <text>
        <t>Source: Meiborg_Debt_Schedule_202512.xlsx - Loan 72
Extracted: 2025-12-31</t>
      </text>
    </comment>
    <comment ref="B8" authorId="0" shapeId="0">
      <text>
        <t>Source: Meiborg_Debt_Schedule_202512.xlsx - Loan 72
Extracted: 2025-12-31</t>
      </text>
    </comment>
    <comment ref="B9" authorId="0" shapeId="0">
      <text>
        <t>Loan: TriState Capital, AMORTIZING. Source: Meiborg_Debt_Schedule_202512.xlsx - Loan 72</t>
      </text>
    </comment>
    <comment ref="B10" authorId="0" shapeId="0">
      <text>
        <t>Fixed monthly payment. Source: Meiborg_Debt_Schedule_202512.xlsx - Loan 72</t>
      </text>
    </comment>
    <comment ref="C23" authorId="0" shapeId="0">
      <text>
        <t>Loan: TriState Capital, AMORTIZING. Source: Meiborg_Debt_Schedule_202512.xlsx - Loan 72</t>
      </text>
    </comment>
    <comment ref="D23" authorId="0" shapeId="0">
      <text>
        <t>Interest: MAX(0, Opening * AnnualRate/12). Source: Meiborg_Debt_Schedule_202512.xlsx - Loan 72</t>
      </text>
    </comment>
    <comment ref="E23" authorId="0" shapeId="0">
      <text>
        <t>Principal: MAX(0, MIN(Opening, Payment-Interest)). Source: Meiborg_Debt_Schedule_202512.xlsx - Loan 72</t>
      </text>
    </comment>
    <comment ref="F23" authorId="0" shapeId="0">
      <text>
        <t>Closing: MAX(0, Opening - Principal). Check: must equal next period Opening.</t>
      </text>
    </comment>
    <comment ref="C24" authorId="0" shapeId="0">
      <text>
        <t>Loan: TriState Capital, AMORTIZING. Source: Meiborg_Debt_Schedule_202512.xlsx - Loan 72</t>
      </text>
    </comment>
    <comment ref="D24" authorId="0" shapeId="0">
      <text>
        <t>Interest: MAX(0, Opening * AnnualRate/12). Source: Meiborg_Debt_Schedule_202512.xlsx - Loan 72</t>
      </text>
    </comment>
    <comment ref="E24" authorId="0" shapeId="0">
      <text>
        <t>Principal: MAX(0, MIN(Opening, Payment-Interest)). Source: Meiborg_Debt_Schedule_202512.xlsx - Loan 72</t>
      </text>
    </comment>
    <comment ref="F24" authorId="0" shapeId="0">
      <text>
        <t>Closing: MAX(0, Opening - Principal). Check: must equal next period Opening.</t>
      </text>
    </comment>
    <comment ref="C25" authorId="0" shapeId="0">
      <text>
        <t>Loan: TriState Capital, AMORTIZING. Source: Meiborg_Debt_Schedule_202512.xlsx - Loan 72</t>
      </text>
    </comment>
    <comment ref="D25" authorId="0" shapeId="0">
      <text>
        <t>Interest: MAX(0, Opening * AnnualRate/12). Source: Meiborg_Debt_Schedule_202512.xlsx - Loan 72</t>
      </text>
    </comment>
    <comment ref="E25" authorId="0" shapeId="0">
      <text>
        <t>Principal: MAX(0, MIN(Opening, Payment-Interest)). Source: Meiborg_Debt_Schedule_202512.xlsx - Loan 72</t>
      </text>
    </comment>
    <comment ref="F25" authorId="0" shapeId="0">
      <text>
        <t>Closing: MAX(0, Opening - Principal). Check: must equal next period Opening.</t>
      </text>
    </comment>
    <comment ref="C26" authorId="0" shapeId="0">
      <text>
        <t>Loan: TriState Capital, AMORTIZING. Source: Meiborg_Debt_Schedule_202512.xlsx - Loan 72</t>
      </text>
    </comment>
    <comment ref="D26" authorId="0" shapeId="0">
      <text>
        <t>Interest: MAX(0, Opening * AnnualRate/12). Source: Meiborg_Debt_Schedule_202512.xlsx - Loan 72</t>
      </text>
    </comment>
    <comment ref="E26" authorId="0" shapeId="0">
      <text>
        <t>Principal: MAX(0, MIN(Opening, Payment-Interest)). Source: Meiborg_Debt_Schedule_202512.xlsx - Loan 72</t>
      </text>
    </comment>
    <comment ref="F26" authorId="0" shapeId="0">
      <text>
        <t>Closing: MAX(0, Opening - Principal). Check: must equal next period Opening.</t>
      </text>
    </comment>
    <comment ref="C27" authorId="0" shapeId="0">
      <text>
        <t>Loan: TriState Capital, AMORTIZING. Source: Meiborg_Debt_Schedule_202512.xlsx - Loan 72</t>
      </text>
    </comment>
    <comment ref="D27" authorId="0" shapeId="0">
      <text>
        <t>Interest: MAX(0, Opening * AnnualRate/12). Source: Meiborg_Debt_Schedule_202512.xlsx - Loan 72</t>
      </text>
    </comment>
    <comment ref="E27" authorId="0" shapeId="0">
      <text>
        <t>Principal: MAX(0, MIN(Opening, Payment-Interest)). Source: Meiborg_Debt_Schedule_202512.xlsx - Loan 72</t>
      </text>
    </comment>
    <comment ref="F27" authorId="0" shapeId="0">
      <text>
        <t>Closing: MAX(0, Opening - Principal). Check: must equal next period Opening.</t>
      </text>
    </comment>
    <comment ref="C28" authorId="0" shapeId="0">
      <text>
        <t>Loan: TriState Capital, AMORTIZING. Source: Meiborg_Debt_Schedule_202512.xlsx - Loan 72</t>
      </text>
    </comment>
    <comment ref="D28" authorId="0" shapeId="0">
      <text>
        <t>Interest: MAX(0, Opening * AnnualRate/12). Source: Meiborg_Debt_Schedule_202512.xlsx - Loan 72</t>
      </text>
    </comment>
    <comment ref="E28" authorId="0" shapeId="0">
      <text>
        <t>Principal: MAX(0, MIN(Opening, Payment-Interest)). Source: Meiborg_Debt_Schedule_202512.xlsx - Loan 72</t>
      </text>
    </comment>
    <comment ref="F28" authorId="0" shapeId="0">
      <text>
        <t>Closing: MAX(0, Opening - Principal). Check: must equal next period Opening.</t>
      </text>
    </comment>
    <comment ref="C29" authorId="0" shapeId="0">
      <text>
        <t>Loan: TriState Capital, AMORTIZING. Source: Meiborg_Debt_Schedule_202512.xlsx - Loan 72</t>
      </text>
    </comment>
    <comment ref="D29" authorId="0" shapeId="0">
      <text>
        <t>Interest: MAX(0, Opening * AnnualRate/12). Source: Meiborg_Debt_Schedule_202512.xlsx - Loan 72</t>
      </text>
    </comment>
    <comment ref="E29" authorId="0" shapeId="0">
      <text>
        <t>Principal: MAX(0, MIN(Opening, Payment-Interest)). Source: Meiborg_Debt_Schedule_202512.xlsx - Loan 72</t>
      </text>
    </comment>
    <comment ref="F29" authorId="0" shapeId="0">
      <text>
        <t>Closing: MAX(0, Opening - Principal). Check: must equal next period Opening.</t>
      </text>
    </comment>
    <comment ref="C30" authorId="0" shapeId="0">
      <text>
        <t>Loan: TriState Capital, AMORTIZING. Source: Meiborg_Debt_Schedule_202512.xlsx - Loan 72</t>
      </text>
    </comment>
    <comment ref="D30" authorId="0" shapeId="0">
      <text>
        <t>Interest: MAX(0, Opening * AnnualRate/12). Source: Meiborg_Debt_Schedule_202512.xlsx - Loan 72</t>
      </text>
    </comment>
    <comment ref="E30" authorId="0" shapeId="0">
      <text>
        <t>Principal: MAX(0, MIN(Opening, Payment-Interest)). Source: Meiborg_Debt_Schedule_202512.xlsx - Loan 72</t>
      </text>
    </comment>
    <comment ref="F30" authorId="0" shapeId="0">
      <text>
        <t>Closing: MAX(0, Opening - Principal). Check: must equal next period Opening.</t>
      </text>
    </comment>
    <comment ref="C31" authorId="0" shapeId="0">
      <text>
        <t>Loan: TriState Capital, AMORTIZING. Source: Meiborg_Debt_Schedule_202512.xlsx - Loan 72</t>
      </text>
    </comment>
    <comment ref="D31" authorId="0" shapeId="0">
      <text>
        <t>Interest: MAX(0, Opening * AnnualRate/12). Source: Meiborg_Debt_Schedule_202512.xlsx - Loan 72</t>
      </text>
    </comment>
    <comment ref="E31" authorId="0" shapeId="0">
      <text>
        <t>Principal: MAX(0, MIN(Opening, Payment-Interest)). Source: Meiborg_Debt_Schedule_202512.xlsx - Loan 72</t>
      </text>
    </comment>
    <comment ref="F31" authorId="0" shapeId="0">
      <text>
        <t>Closing: MAX(0, Opening - Principal). Check: must equal next period Opening.</t>
      </text>
    </comment>
    <comment ref="C32" authorId="0" shapeId="0">
      <text>
        <t>Loan: TriState Capital, AMORTIZING. Source: Meiborg_Debt_Schedule_202512.xlsx - Loan 72</t>
      </text>
    </comment>
    <comment ref="D32" authorId="0" shapeId="0">
      <text>
        <t>Interest: MAX(0, Opening * AnnualRate/12). Source: Meiborg_Debt_Schedule_202512.xlsx - Loan 72</t>
      </text>
    </comment>
    <comment ref="E32" authorId="0" shapeId="0">
      <text>
        <t>Principal: MAX(0, MIN(Opening, Payment-Interest)). Source: Meiborg_Debt_Schedule_202512.xlsx - Loan 72</t>
      </text>
    </comment>
    <comment ref="F32" authorId="0" shapeId="0">
      <text>
        <t>Closing: MAX(0, Opening - Principal). Check: must equal next period Opening.</t>
      </text>
    </comment>
    <comment ref="C33" authorId="0" shapeId="0">
      <text>
        <t>Loan: TriState Capital, AMORTIZING. Source: Meiborg_Debt_Schedule_202512.xlsx - Loan 72</t>
      </text>
    </comment>
    <comment ref="D33" authorId="0" shapeId="0">
      <text>
        <t>Interest: MAX(0, Opening * AnnualRate/12). Source: Meiborg_Debt_Schedule_202512.xlsx - Loan 72</t>
      </text>
    </comment>
    <comment ref="E33" authorId="0" shapeId="0">
      <text>
        <t>Principal: MAX(0, MIN(Opening, Payment-Interest)). Source: Meiborg_Debt_Schedule_202512.xlsx - Loan 72</t>
      </text>
    </comment>
    <comment ref="F33" authorId="0" shapeId="0">
      <text>
        <t>Closing: MAX(0, Opening - Principal). Check: must equal next period Opening.</t>
      </text>
    </comment>
    <comment ref="C34" authorId="0" shapeId="0">
      <text>
        <t>Loan: TriState Capital, AMORTIZING. Source: Meiborg_Debt_Schedule_202512.xlsx - Loan 72</t>
      </text>
    </comment>
    <comment ref="D34" authorId="0" shapeId="0">
      <text>
        <t>Interest: MAX(0, Opening * AnnualRate/12). Source: Meiborg_Debt_Schedule_202512.xlsx - Loan 72</t>
      </text>
    </comment>
    <comment ref="E34" authorId="0" shapeId="0">
      <text>
        <t>Principal: MAX(0, MIN(Opening, Payment-Interest)). Source: Meiborg_Debt_Schedule_202512.xlsx - Loan 72</t>
      </text>
    </comment>
    <comment ref="F34" authorId="0" shapeId="0">
      <text>
        <t>Closing: MAX(0, Opening - Principal). Check: must equal next period Opening.</t>
      </text>
    </comment>
    <comment ref="C35" authorId="0" shapeId="0">
      <text>
        <t>Loan: TriState Capital, AMORTIZING. Source: Meiborg_Debt_Schedule_202512.xlsx - Loan 72</t>
      </text>
    </comment>
    <comment ref="D35" authorId="0" shapeId="0">
      <text>
        <t>Interest: MAX(0, Opening * AnnualRate/12). Source: Meiborg_Debt_Schedule_202512.xlsx - Loan 72</t>
      </text>
    </comment>
    <comment ref="E35" authorId="0" shapeId="0">
      <text>
        <t>Principal: MAX(0, MIN(Opening, Payment-Interest)). Source: Meiborg_Debt_Schedule_202512.xlsx - Loan 72</t>
      </text>
    </comment>
    <comment ref="F35" authorId="0" shapeId="0">
      <text>
        <t>Closing: MAX(0, Opening - Principal). Check: must equal next period Opening.</t>
      </text>
    </comment>
    <comment ref="C36" authorId="0" shapeId="0">
      <text>
        <t>Loan: TriState Capital, AMORTIZING. Source: Meiborg_Debt_Schedule_202512.xlsx - Loan 72</t>
      </text>
    </comment>
    <comment ref="D36" authorId="0" shapeId="0">
      <text>
        <t>Interest: MAX(0, Opening * AnnualRate/12). Source: Meiborg_Debt_Schedule_202512.xlsx - Loan 72</t>
      </text>
    </comment>
    <comment ref="E36" authorId="0" shapeId="0">
      <text>
        <t>Principal: MAX(0, MIN(Opening, Payment-Interest)). Source: Meiborg_Debt_Schedule_202512.xlsx - Loan 72</t>
      </text>
    </comment>
    <comment ref="F36" authorId="0" shapeId="0">
      <text>
        <t>Closing: MAX(0, Opening - Principal). Check: must equal next period Opening.</t>
      </text>
    </comment>
    <comment ref="C37" authorId="0" shapeId="0">
      <text>
        <t>Loan: TriState Capital, AMORTIZING. Source: Meiborg_Debt_Schedule_202512.xlsx - Loan 72</t>
      </text>
    </comment>
    <comment ref="D37" authorId="0" shapeId="0">
      <text>
        <t>Interest: MAX(0, Opening * AnnualRate/12). Source: Meiborg_Debt_Schedule_202512.xlsx - Loan 72</t>
      </text>
    </comment>
    <comment ref="E37" authorId="0" shapeId="0">
      <text>
        <t>Principal: MAX(0, MIN(Opening, Payment-Interest)). Source: Meiborg_Debt_Schedule_202512.xlsx - Loan 72</t>
      </text>
    </comment>
    <comment ref="F37" authorId="0" shapeId="0">
      <text>
        <t>Closing: MAX(0, Opening - Principal). Check: must equal next period Opening.</t>
      </text>
    </comment>
    <comment ref="C38" authorId="0" shapeId="0">
      <text>
        <t>Loan: TriState Capital, AMORTIZING. Source: Meiborg_Debt_Schedule_202512.xlsx - Loan 72</t>
      </text>
    </comment>
    <comment ref="D38" authorId="0" shapeId="0">
      <text>
        <t>Interest: MAX(0, Opening * AnnualRate/12). Source: Meiborg_Debt_Schedule_202512.xlsx - Loan 72</t>
      </text>
    </comment>
    <comment ref="E38" authorId="0" shapeId="0">
      <text>
        <t>Principal: MAX(0, MIN(Opening, Payment-Interest)). Source: Meiborg_Debt_Schedule_202512.xlsx - Loan 72</t>
      </text>
    </comment>
    <comment ref="F38" authorId="0" shapeId="0">
      <text>
        <t>Closing: MAX(0, Opening - Principal). Check: must equal next period Opening.</t>
      </text>
    </comment>
    <comment ref="C39" authorId="0" shapeId="0">
      <text>
        <t>Loan: TriState Capital, AMORTIZING. Source: Meiborg_Debt_Schedule_202512.xlsx - Loan 72</t>
      </text>
    </comment>
    <comment ref="D39" authorId="0" shapeId="0">
      <text>
        <t>Interest: MAX(0, Opening * AnnualRate/12). Source: Meiborg_Debt_Schedule_202512.xlsx - Loan 72</t>
      </text>
    </comment>
    <comment ref="E39" authorId="0" shapeId="0">
      <text>
        <t>Principal: MAX(0, MIN(Opening, Payment-Interest)). Source: Meiborg_Debt_Schedule_202512.xlsx - Loan 72</t>
      </text>
    </comment>
    <comment ref="F39" authorId="0" shapeId="0">
      <text>
        <t>Closing: MAX(0, Opening - Principal). Check: must equal next period Opening.</t>
      </text>
    </comment>
    <comment ref="C40" authorId="0" shapeId="0">
      <text>
        <t>Loan: TriState Capital, AMORTIZING. Source: Meiborg_Debt_Schedule_202512.xlsx - Loan 72</t>
      </text>
    </comment>
    <comment ref="D40" authorId="0" shapeId="0">
      <text>
        <t>Interest: MAX(0, Opening * AnnualRate/12). Source: Meiborg_Debt_Schedule_202512.xlsx - Loan 72</t>
      </text>
    </comment>
    <comment ref="E40" authorId="0" shapeId="0">
      <text>
        <t>Principal: MAX(0, MIN(Opening, Payment-Interest)). Source: Meiborg_Debt_Schedule_202512.xlsx - Loan 72</t>
      </text>
    </comment>
    <comment ref="F40" authorId="0" shapeId="0">
      <text>
        <t>Closing: MAX(0, Opening - Principal). Check: must equal next period Opening.</t>
      </text>
    </comment>
    <comment ref="C41" authorId="0" shapeId="0">
      <text>
        <t>Loan: TriState Capital, AMORTIZING. Source: Meiborg_Debt_Schedule_202512.xlsx - Loan 72</t>
      </text>
    </comment>
    <comment ref="D41" authorId="0" shapeId="0">
      <text>
        <t>Interest: MAX(0, Opening * AnnualRate/12). Source: Meiborg_Debt_Schedule_202512.xlsx - Loan 72</t>
      </text>
    </comment>
    <comment ref="E41" authorId="0" shapeId="0">
      <text>
        <t>Principal: MAX(0, MIN(Opening, Payment-Interest)). Source: Meiborg_Debt_Schedule_202512.xlsx - Loan 72</t>
      </text>
    </comment>
    <comment ref="F41" authorId="0" shapeId="0">
      <text>
        <t>Closing: MAX(0, Opening - Principal). Check: must equal next period Opening.</t>
      </text>
    </comment>
    <comment ref="C42" authorId="0" shapeId="0">
      <text>
        <t>Loan: TriState Capital, AMORTIZING. Source: Meiborg_Debt_Schedule_202512.xlsx - Loan 72</t>
      </text>
    </comment>
    <comment ref="D42" authorId="0" shapeId="0">
      <text>
        <t>Interest: MAX(0, Opening * AnnualRate/12). Source: Meiborg_Debt_Schedule_202512.xlsx - Loan 72</t>
      </text>
    </comment>
    <comment ref="E42" authorId="0" shapeId="0">
      <text>
        <t>Principal: MAX(0, MIN(Opening, Payment-Interest)). Source: Meiborg_Debt_Schedule_202512.xlsx - Loan 72</t>
      </text>
    </comment>
    <comment ref="F42" authorId="0" shapeId="0">
      <text>
        <t>Closing: MAX(0, Opening - Principal). Check: must equal next period Opening.</t>
      </text>
    </comment>
    <comment ref="C43" authorId="0" shapeId="0">
      <text>
        <t>Loan: TriState Capital, AMORTIZING. Source: Meiborg_Debt_Schedule_202512.xlsx - Loan 72</t>
      </text>
    </comment>
    <comment ref="D43" authorId="0" shapeId="0">
      <text>
        <t>Interest: MAX(0, Opening * AnnualRate/12). Source: Meiborg_Debt_Schedule_202512.xlsx - Loan 72</t>
      </text>
    </comment>
    <comment ref="E43" authorId="0" shapeId="0">
      <text>
        <t>Principal: MAX(0, MIN(Opening, Payment-Interest)). Source: Meiborg_Debt_Schedule_202512.xlsx - Loan 72</t>
      </text>
    </comment>
    <comment ref="F43" authorId="0" shapeId="0">
      <text>
        <t>Closing: MAX(0, Opening - Principal). Check: must equal next period Opening.</t>
      </text>
    </comment>
    <comment ref="C44" authorId="0" shapeId="0">
      <text>
        <t>Loan: TriState Capital, AMORTIZING. Source: Meiborg_Debt_Schedule_202512.xlsx - Loan 72</t>
      </text>
    </comment>
    <comment ref="D44" authorId="0" shapeId="0">
      <text>
        <t>Interest: MAX(0, Opening * AnnualRate/12). Source: Meiborg_Debt_Schedule_202512.xlsx - Loan 72</t>
      </text>
    </comment>
    <comment ref="E44" authorId="0" shapeId="0">
      <text>
        <t>Principal: MAX(0, MIN(Opening, Payment-Interest)). Source: Meiborg_Debt_Schedule_202512.xlsx - Loan 72</t>
      </text>
    </comment>
    <comment ref="F44" authorId="0" shapeId="0">
      <text>
        <t>Closing: MAX(0, Opening - Principal). Check: must equal next period Opening.</t>
      </text>
    </comment>
    <comment ref="C45" authorId="0" shapeId="0">
      <text>
        <t>Loan: TriState Capital, AMORTIZING. Source: Meiborg_Debt_Schedule_202512.xlsx - Loan 72</t>
      </text>
    </comment>
    <comment ref="D45" authorId="0" shapeId="0">
      <text>
        <t>Interest: MAX(0, Opening * AnnualRate/12). Source: Meiborg_Debt_Schedule_202512.xlsx - Loan 72</t>
      </text>
    </comment>
    <comment ref="E45" authorId="0" shapeId="0">
      <text>
        <t>Principal: MAX(0, MIN(Opening, Payment-Interest)). Source: Meiborg_Debt_Schedule_202512.xlsx - Loan 72</t>
      </text>
    </comment>
    <comment ref="F45" authorId="0" shapeId="0">
      <text>
        <t>Closing: MAX(0, Opening - Principal). Check: must equal next period Opening.</t>
      </text>
    </comment>
    <comment ref="C46" authorId="0" shapeId="0">
      <text>
        <t>Loan: TriState Capital, AMORTIZING. Source: Meiborg_Debt_Schedule_202512.xlsx - Loan 72</t>
      </text>
    </comment>
    <comment ref="D46" authorId="0" shapeId="0">
      <text>
        <t>Interest: MAX(0, Opening * AnnualRate/12). Source: Meiborg_Debt_Schedule_202512.xlsx - Loan 72</t>
      </text>
    </comment>
    <comment ref="E46" authorId="0" shapeId="0">
      <text>
        <t>Principal: MAX(0, MIN(Opening, Payment-Interest)). Source: Meiborg_Debt_Schedule_202512.xlsx - Loan 72</t>
      </text>
    </comment>
    <comment ref="F46" authorId="0" shapeId="0">
      <text>
        <t>Closing: MAX(0, Opening - Principal). Check: must equal next period Opening.</t>
      </text>
    </comment>
    <comment ref="C47" authorId="0" shapeId="0">
      <text>
        <t>Loan: TriState Capital, AMORTIZING. Source: Meiborg_Debt_Schedule_202512.xlsx - Loan 72</t>
      </text>
    </comment>
    <comment ref="D47" authorId="0" shapeId="0">
      <text>
        <t>Interest: MAX(0, Opening * AnnualRate/12). Source: Meiborg_Debt_Schedule_202512.xlsx - Loan 72</t>
      </text>
    </comment>
    <comment ref="E47" authorId="0" shapeId="0">
      <text>
        <t>Principal: MAX(0, MIN(Opening, Payment-Interest)). Source: Meiborg_Debt_Schedule_202512.xlsx - Loan 72</t>
      </text>
    </comment>
    <comment ref="F47" authorId="0" shapeId="0">
      <text>
        <t>Closing: MAX(0, Opening - Principal). Check: must equal next period Opening.</t>
      </text>
    </comment>
    <comment ref="C48" authorId="0" shapeId="0">
      <text>
        <t>Loan: TriState Capital, AMORTIZING. Source: Meiborg_Debt_Schedule_202512.xlsx - Loan 72</t>
      </text>
    </comment>
    <comment ref="D48" authorId="0" shapeId="0">
      <text>
        <t>Interest: MAX(0, Opening * AnnualRate/12). Source: Meiborg_Debt_Schedule_202512.xlsx - Loan 72</t>
      </text>
    </comment>
    <comment ref="E48" authorId="0" shapeId="0">
      <text>
        <t>Principal: MAX(0, MIN(Opening, Payment-Interest)). Source: Meiborg_Debt_Schedule_202512.xlsx - Loan 72</t>
      </text>
    </comment>
    <comment ref="F48" authorId="0" shapeId="0">
      <text>
        <t>Closing: MAX(0, Opening - Principal). Check: must equal next period Opening.</t>
      </text>
    </comment>
    <comment ref="C49" authorId="0" shapeId="0">
      <text>
        <t>Loan: TriState Capital, AMORTIZING. Source: Meiborg_Debt_Schedule_202512.xlsx - Loan 72</t>
      </text>
    </comment>
    <comment ref="D49" authorId="0" shapeId="0">
      <text>
        <t>Interest: MAX(0, Opening * AnnualRate/12). Source: Meiborg_Debt_Schedule_202512.xlsx - Loan 72</t>
      </text>
    </comment>
    <comment ref="E49" authorId="0" shapeId="0">
      <text>
        <t>Principal: MAX(0, MIN(Opening, Payment-Interest)). Source: Meiborg_Debt_Schedule_202512.xlsx - Loan 72</t>
      </text>
    </comment>
    <comment ref="F49" authorId="0" shapeId="0">
      <text>
        <t>Closing: MAX(0, Opening - Principal). Check: must equal next period Opening.</t>
      </text>
    </comment>
    <comment ref="C50" authorId="0" shapeId="0">
      <text>
        <t>Loan: TriState Capital, AMORTIZING. Source: Meiborg_Debt_Schedule_202512.xlsx - Loan 72</t>
      </text>
    </comment>
    <comment ref="D50" authorId="0" shapeId="0">
      <text>
        <t>Interest: MAX(0, Opening * AnnualRate/12). Source: Meiborg_Debt_Schedule_202512.xlsx - Loan 72</t>
      </text>
    </comment>
    <comment ref="E50" authorId="0" shapeId="0">
      <text>
        <t>Principal: MAX(0, MIN(Opening, Payment-Interest)). Source: Meiborg_Debt_Schedule_202512.xlsx - Loan 72</t>
      </text>
    </comment>
    <comment ref="F50" authorId="0" shapeId="0">
      <text>
        <t>Closing: MAX(0, Opening - Principal). Check: must equal next period Opening.</t>
      </text>
    </comment>
    <comment ref="C51" authorId="0" shapeId="0">
      <text>
        <t>Loan: TriState Capital, AMORTIZING. Source: Meiborg_Debt_Schedule_202512.xlsx - Loan 72</t>
      </text>
    </comment>
    <comment ref="D51" authorId="0" shapeId="0">
      <text>
        <t>Interest: MAX(0, Opening * AnnualRate/12). Source: Meiborg_Debt_Schedule_202512.xlsx - Loan 72</t>
      </text>
    </comment>
    <comment ref="E51" authorId="0" shapeId="0">
      <text>
        <t>Principal: MAX(0, MIN(Opening, Payment-Interest)). Source: Meiborg_Debt_Schedule_202512.xlsx - Loan 72</t>
      </text>
    </comment>
    <comment ref="F51" authorId="0" shapeId="0">
      <text>
        <t>Closing: MAX(0, Opening - Principal). Check: must equal next period Opening.</t>
      </text>
    </comment>
    <comment ref="C52" authorId="0" shapeId="0">
      <text>
        <t>Loan: TriState Capital, AMORTIZING. Source: Meiborg_Debt_Schedule_202512.xlsx - Loan 72</t>
      </text>
    </comment>
    <comment ref="D52" authorId="0" shapeId="0">
      <text>
        <t>Interest: MAX(0, Opening * AnnualRate/12). Source: Meiborg_Debt_Schedule_202512.xlsx - Loan 72</t>
      </text>
    </comment>
    <comment ref="E52" authorId="0" shapeId="0">
      <text>
        <t>Principal: MAX(0, MIN(Opening, Payment-Interest)). Source: Meiborg_Debt_Schedule_202512.xlsx - Loan 72</t>
      </text>
    </comment>
    <comment ref="F52" authorId="0" shapeId="0">
      <text>
        <t>Closing: MAX(0, Opening - Principal). Check: must equal next period Opening.</t>
      </text>
    </comment>
    <comment ref="C53" authorId="0" shapeId="0">
      <text>
        <t>Loan: TriState Capital, AMORTIZING. Source: Meiborg_Debt_Schedule_202512.xlsx - Loan 72</t>
      </text>
    </comment>
    <comment ref="D53" authorId="0" shapeId="0">
      <text>
        <t>Interest: MAX(0, Opening * AnnualRate/12). Source: Meiborg_Debt_Schedule_202512.xlsx - Loan 72</t>
      </text>
    </comment>
    <comment ref="E53" authorId="0" shapeId="0">
      <text>
        <t>Principal: MAX(0, MIN(Opening, Payment-Interest)). Source: Meiborg_Debt_Schedule_202512.xlsx - Loan 72</t>
      </text>
    </comment>
    <comment ref="F53" authorId="0" shapeId="0">
      <text>
        <t>Closing: MAX(0, Opening - Principal). Check: must equal next period Opening.</t>
      </text>
    </comment>
    <comment ref="C54" authorId="0" shapeId="0">
      <text>
        <t>Loan: TriState Capital, AMORTIZING. Source: Meiborg_Debt_Schedule_202512.xlsx - Loan 72</t>
      </text>
    </comment>
    <comment ref="D54" authorId="0" shapeId="0">
      <text>
        <t>Interest: MAX(0, Opening * AnnualRate/12). Source: Meiborg_Debt_Schedule_202512.xlsx - Loan 72</t>
      </text>
    </comment>
    <comment ref="E54" authorId="0" shapeId="0">
      <text>
        <t>Principal: MAX(0, MIN(Opening, Payment-Interest)). Source: Meiborg_Debt_Schedule_202512.xlsx - Loan 72</t>
      </text>
    </comment>
    <comment ref="F54" authorId="0" shapeId="0">
      <text>
        <t>Closing: MAX(0, Opening - Principal). Check: must equal next period Opening.</t>
      </text>
    </comment>
    <comment ref="C59" authorId="0" shapeId="0">
      <text>
        <t>Sum of rows 23-34: Monthly interest payments</t>
      </text>
    </comment>
    <comment ref="D59" authorId="0" shapeId="0">
      <text>
        <t>Sum of rows 23-34: Monthly principal payments</t>
      </text>
    </comment>
    <comment ref="E59" authorId="0" shapeId="0">
      <text>
        <t>Links to: row 34 - Closing Balance for Dec 2026</t>
      </text>
    </comment>
    <comment ref="C60" authorId="0" shapeId="0">
      <text>
        <t>Sum of rows 35-46: Monthly interest payments</t>
      </text>
    </comment>
    <comment ref="D60" authorId="0" shapeId="0">
      <text>
        <t>Sum of rows 35-46: Monthly principal payments</t>
      </text>
    </comment>
    <comment ref="E60" authorId="0" shapeId="0">
      <text>
        <t>Links to: row 46 - Closing Balance for Dec 2027</t>
      </text>
    </comment>
    <comment ref="C61" authorId="0" shapeId="0">
      <text>
        <t>Sum of rows 47-54: Monthly interest payments</t>
      </text>
    </comment>
    <comment ref="D61" authorId="0" shapeId="0">
      <text>
        <t>Sum of rows 47-54: Monthly principal payments</t>
      </text>
    </comment>
    <comment ref="E61" authorId="0" shapeId="0">
      <text>
        <t>Links to: row 54 - Closing Balance for Dec 2028</t>
      </text>
    </comment>
    <comment ref="B65" authorId="0" shapeId="0">
      <text>
        <t>Links to: row 8 - Current Balance as of 12/31/2025. For Debt Schedule linking.</t>
      </text>
    </comment>
  </commentList>
</comments>
</file>

<file path=xl/comments/comment47.xml><?xml version="1.0" encoding="utf-8"?>
<comments xmlns="http://schemas.openxmlformats.org/spreadsheetml/2006/main">
  <authors>
    <author>Model Builder</author>
  </authors>
  <commentList>
    <comment ref="B7" authorId="0" shapeId="0">
      <text>
        <t>Source: Meiborg_Debt_Schedule_202512.xlsx - Loan 73
Extracted: 2025-12-31</t>
      </text>
    </comment>
    <comment ref="B8" authorId="0" shapeId="0">
      <text>
        <t>Source: Meiborg_Debt_Schedule_202512.xlsx - Loan 73
Extracted: 2025-12-31</t>
      </text>
    </comment>
    <comment ref="B9" authorId="0" shapeId="0">
      <text>
        <t>Loan: TriState Capital, AMORTIZING. Source: Meiborg_Debt_Schedule_202512.xlsx - Loan 73</t>
      </text>
    </comment>
    <comment ref="B10" authorId="0" shapeId="0">
      <text>
        <t>Fixed monthly payment. Source: Meiborg_Debt_Schedule_202512.xlsx - Loan 73</t>
      </text>
    </comment>
    <comment ref="C23" authorId="0" shapeId="0">
      <text>
        <t>Loan: TriState Capital, AMORTIZING. Source: Meiborg_Debt_Schedule_202512.xlsx - Loan 73</t>
      </text>
    </comment>
    <comment ref="D23" authorId="0" shapeId="0">
      <text>
        <t>Interest: MAX(0, Opening * AnnualRate/12). Source: Meiborg_Debt_Schedule_202512.xlsx - Loan 73</t>
      </text>
    </comment>
    <comment ref="E23" authorId="0" shapeId="0">
      <text>
        <t>Principal: MAX(0, MIN(Opening, Payment-Interest)). Source: Meiborg_Debt_Schedule_202512.xlsx - Loan 73</t>
      </text>
    </comment>
    <comment ref="F23" authorId="0" shapeId="0">
      <text>
        <t>Closing: MAX(0, Opening - Principal). Check: must equal next period Opening.</t>
      </text>
    </comment>
    <comment ref="C24" authorId="0" shapeId="0">
      <text>
        <t>Loan: TriState Capital, AMORTIZING. Source: Meiborg_Debt_Schedule_202512.xlsx - Loan 73</t>
      </text>
    </comment>
    <comment ref="D24" authorId="0" shapeId="0">
      <text>
        <t>Interest: MAX(0, Opening * AnnualRate/12). Source: Meiborg_Debt_Schedule_202512.xlsx - Loan 73</t>
      </text>
    </comment>
    <comment ref="E24" authorId="0" shapeId="0">
      <text>
        <t>Principal: MAX(0, MIN(Opening, Payment-Interest)). Source: Meiborg_Debt_Schedule_202512.xlsx - Loan 73</t>
      </text>
    </comment>
    <comment ref="F24" authorId="0" shapeId="0">
      <text>
        <t>Closing: MAX(0, Opening - Principal). Check: must equal next period Opening.</t>
      </text>
    </comment>
    <comment ref="C25" authorId="0" shapeId="0">
      <text>
        <t>Loan: TriState Capital, AMORTIZING. Source: Meiborg_Debt_Schedule_202512.xlsx - Loan 73</t>
      </text>
    </comment>
    <comment ref="D25" authorId="0" shapeId="0">
      <text>
        <t>Interest: MAX(0, Opening * AnnualRate/12). Source: Meiborg_Debt_Schedule_202512.xlsx - Loan 73</t>
      </text>
    </comment>
    <comment ref="E25" authorId="0" shapeId="0">
      <text>
        <t>Principal: MAX(0, MIN(Opening, Payment-Interest)). Source: Meiborg_Debt_Schedule_202512.xlsx - Loan 73</t>
      </text>
    </comment>
    <comment ref="F25" authorId="0" shapeId="0">
      <text>
        <t>Closing: MAX(0, Opening - Principal). Check: must equal next period Opening.</t>
      </text>
    </comment>
    <comment ref="C26" authorId="0" shapeId="0">
      <text>
        <t>Loan: TriState Capital, AMORTIZING. Source: Meiborg_Debt_Schedule_202512.xlsx - Loan 73</t>
      </text>
    </comment>
    <comment ref="D26" authorId="0" shapeId="0">
      <text>
        <t>Interest: MAX(0, Opening * AnnualRate/12). Source: Meiborg_Debt_Schedule_202512.xlsx - Loan 73</t>
      </text>
    </comment>
    <comment ref="E26" authorId="0" shapeId="0">
      <text>
        <t>Principal: MAX(0, MIN(Opening, Payment-Interest)). Source: Meiborg_Debt_Schedule_202512.xlsx - Loan 73</t>
      </text>
    </comment>
    <comment ref="F26" authorId="0" shapeId="0">
      <text>
        <t>Closing: MAX(0, Opening - Principal). Check: must equal next period Opening.</t>
      </text>
    </comment>
    <comment ref="C27" authorId="0" shapeId="0">
      <text>
        <t>Loan: TriState Capital, AMORTIZING. Source: Meiborg_Debt_Schedule_202512.xlsx - Loan 73</t>
      </text>
    </comment>
    <comment ref="D27" authorId="0" shapeId="0">
      <text>
        <t>Interest: MAX(0, Opening * AnnualRate/12). Source: Meiborg_Debt_Schedule_202512.xlsx - Loan 73</t>
      </text>
    </comment>
    <comment ref="E27" authorId="0" shapeId="0">
      <text>
        <t>Principal: MAX(0, MIN(Opening, Payment-Interest)). Source: Meiborg_Debt_Schedule_202512.xlsx - Loan 73</t>
      </text>
    </comment>
    <comment ref="F27" authorId="0" shapeId="0">
      <text>
        <t>Closing: MAX(0, Opening - Principal). Check: must equal next period Opening.</t>
      </text>
    </comment>
    <comment ref="C28" authorId="0" shapeId="0">
      <text>
        <t>Loan: TriState Capital, AMORTIZING. Source: Meiborg_Debt_Schedule_202512.xlsx - Loan 73</t>
      </text>
    </comment>
    <comment ref="D28" authorId="0" shapeId="0">
      <text>
        <t>Interest: MAX(0, Opening * AnnualRate/12). Source: Meiborg_Debt_Schedule_202512.xlsx - Loan 73</t>
      </text>
    </comment>
    <comment ref="E28" authorId="0" shapeId="0">
      <text>
        <t>Principal: MAX(0, MIN(Opening, Payment-Interest)). Source: Meiborg_Debt_Schedule_202512.xlsx - Loan 73</t>
      </text>
    </comment>
    <comment ref="F28" authorId="0" shapeId="0">
      <text>
        <t>Closing: MAX(0, Opening - Principal). Check: must equal next period Opening.</t>
      </text>
    </comment>
    <comment ref="C29" authorId="0" shapeId="0">
      <text>
        <t>Loan: TriState Capital, AMORTIZING. Source: Meiborg_Debt_Schedule_202512.xlsx - Loan 73</t>
      </text>
    </comment>
    <comment ref="D29" authorId="0" shapeId="0">
      <text>
        <t>Interest: MAX(0, Opening * AnnualRate/12). Source: Meiborg_Debt_Schedule_202512.xlsx - Loan 73</t>
      </text>
    </comment>
    <comment ref="E29" authorId="0" shapeId="0">
      <text>
        <t>Principal: MAX(0, MIN(Opening, Payment-Interest)). Source: Meiborg_Debt_Schedule_202512.xlsx - Loan 73</t>
      </text>
    </comment>
    <comment ref="F29" authorId="0" shapeId="0">
      <text>
        <t>Closing: MAX(0, Opening - Principal). Check: must equal next period Opening.</t>
      </text>
    </comment>
    <comment ref="C30" authorId="0" shapeId="0">
      <text>
        <t>Loan: TriState Capital, AMORTIZING. Source: Meiborg_Debt_Schedule_202512.xlsx - Loan 73</t>
      </text>
    </comment>
    <comment ref="D30" authorId="0" shapeId="0">
      <text>
        <t>Interest: MAX(0, Opening * AnnualRate/12). Source: Meiborg_Debt_Schedule_202512.xlsx - Loan 73</t>
      </text>
    </comment>
    <comment ref="E30" authorId="0" shapeId="0">
      <text>
        <t>Principal: MAX(0, MIN(Opening, Payment-Interest)). Source: Meiborg_Debt_Schedule_202512.xlsx - Loan 73</t>
      </text>
    </comment>
    <comment ref="F30" authorId="0" shapeId="0">
      <text>
        <t>Closing: MAX(0, Opening - Principal). Check: must equal next period Opening.</t>
      </text>
    </comment>
    <comment ref="C31" authorId="0" shapeId="0">
      <text>
        <t>Loan: TriState Capital, AMORTIZING. Source: Meiborg_Debt_Schedule_202512.xlsx - Loan 73</t>
      </text>
    </comment>
    <comment ref="D31" authorId="0" shapeId="0">
      <text>
        <t>Interest: MAX(0, Opening * AnnualRate/12). Source: Meiborg_Debt_Schedule_202512.xlsx - Loan 73</t>
      </text>
    </comment>
    <comment ref="E31" authorId="0" shapeId="0">
      <text>
        <t>Principal: MAX(0, MIN(Opening, Payment-Interest)). Source: Meiborg_Debt_Schedule_202512.xlsx - Loan 73</t>
      </text>
    </comment>
    <comment ref="F31" authorId="0" shapeId="0">
      <text>
        <t>Closing: MAX(0, Opening - Principal). Check: must equal next period Opening.</t>
      </text>
    </comment>
    <comment ref="C32" authorId="0" shapeId="0">
      <text>
        <t>Loan: TriState Capital, AMORTIZING. Source: Meiborg_Debt_Schedule_202512.xlsx - Loan 73</t>
      </text>
    </comment>
    <comment ref="D32" authorId="0" shapeId="0">
      <text>
        <t>Interest: MAX(0, Opening * AnnualRate/12). Source: Meiborg_Debt_Schedule_202512.xlsx - Loan 73</t>
      </text>
    </comment>
    <comment ref="E32" authorId="0" shapeId="0">
      <text>
        <t>Principal: MAX(0, MIN(Opening, Payment-Interest)). Source: Meiborg_Debt_Schedule_202512.xlsx - Loan 73</t>
      </text>
    </comment>
    <comment ref="F32" authorId="0" shapeId="0">
      <text>
        <t>Closing: MAX(0, Opening - Principal). Check: must equal next period Opening.</t>
      </text>
    </comment>
    <comment ref="C33" authorId="0" shapeId="0">
      <text>
        <t>Loan: TriState Capital, AMORTIZING. Source: Meiborg_Debt_Schedule_202512.xlsx - Loan 73</t>
      </text>
    </comment>
    <comment ref="D33" authorId="0" shapeId="0">
      <text>
        <t>Interest: MAX(0, Opening * AnnualRate/12). Source: Meiborg_Debt_Schedule_202512.xlsx - Loan 73</t>
      </text>
    </comment>
    <comment ref="E33" authorId="0" shapeId="0">
      <text>
        <t>Principal: MAX(0, MIN(Opening, Payment-Interest)). Source: Meiborg_Debt_Schedule_202512.xlsx - Loan 73</t>
      </text>
    </comment>
    <comment ref="F33" authorId="0" shapeId="0">
      <text>
        <t>Closing: MAX(0, Opening - Principal). Check: must equal next period Opening.</t>
      </text>
    </comment>
    <comment ref="C34" authorId="0" shapeId="0">
      <text>
        <t>Loan: TriState Capital, AMORTIZING. Source: Meiborg_Debt_Schedule_202512.xlsx - Loan 73</t>
      </text>
    </comment>
    <comment ref="D34" authorId="0" shapeId="0">
      <text>
        <t>Interest: MAX(0, Opening * AnnualRate/12). Source: Meiborg_Debt_Schedule_202512.xlsx - Loan 73</t>
      </text>
    </comment>
    <comment ref="E34" authorId="0" shapeId="0">
      <text>
        <t>Principal: MAX(0, MIN(Opening, Payment-Interest)). Source: Meiborg_Debt_Schedule_202512.xlsx - Loan 73</t>
      </text>
    </comment>
    <comment ref="F34" authorId="0" shapeId="0">
      <text>
        <t>Closing: MAX(0, Opening - Principal). Check: must equal next period Opening.</t>
      </text>
    </comment>
    <comment ref="C35" authorId="0" shapeId="0">
      <text>
        <t>Loan: TriState Capital, AMORTIZING. Source: Meiborg_Debt_Schedule_202512.xlsx - Loan 73</t>
      </text>
    </comment>
    <comment ref="D35" authorId="0" shapeId="0">
      <text>
        <t>Interest: MAX(0, Opening * AnnualRate/12). Source: Meiborg_Debt_Schedule_202512.xlsx - Loan 73</t>
      </text>
    </comment>
    <comment ref="E35" authorId="0" shapeId="0">
      <text>
        <t>Principal: MAX(0, MIN(Opening, Payment-Interest)). Source: Meiborg_Debt_Schedule_202512.xlsx - Loan 73</t>
      </text>
    </comment>
    <comment ref="F35" authorId="0" shapeId="0">
      <text>
        <t>Closing: MAX(0, Opening - Principal). Check: must equal next period Opening.</t>
      </text>
    </comment>
    <comment ref="C36" authorId="0" shapeId="0">
      <text>
        <t>Loan: TriState Capital, AMORTIZING. Source: Meiborg_Debt_Schedule_202512.xlsx - Loan 73</t>
      </text>
    </comment>
    <comment ref="D36" authorId="0" shapeId="0">
      <text>
        <t>Interest: MAX(0, Opening * AnnualRate/12). Source: Meiborg_Debt_Schedule_202512.xlsx - Loan 73</t>
      </text>
    </comment>
    <comment ref="E36" authorId="0" shapeId="0">
      <text>
        <t>Principal: MAX(0, MIN(Opening, Payment-Interest)). Source: Meiborg_Debt_Schedule_202512.xlsx - Loan 73</t>
      </text>
    </comment>
    <comment ref="F36" authorId="0" shapeId="0">
      <text>
        <t>Closing: MAX(0, Opening - Principal). Check: must equal next period Opening.</t>
      </text>
    </comment>
    <comment ref="C37" authorId="0" shapeId="0">
      <text>
        <t>Loan: TriState Capital, AMORTIZING. Source: Meiborg_Debt_Schedule_202512.xlsx - Loan 73</t>
      </text>
    </comment>
    <comment ref="D37" authorId="0" shapeId="0">
      <text>
        <t>Interest: MAX(0, Opening * AnnualRate/12). Source: Meiborg_Debt_Schedule_202512.xlsx - Loan 73</t>
      </text>
    </comment>
    <comment ref="E37" authorId="0" shapeId="0">
      <text>
        <t>Principal: MAX(0, MIN(Opening, Payment-Interest)). Source: Meiborg_Debt_Schedule_202512.xlsx - Loan 73</t>
      </text>
    </comment>
    <comment ref="F37" authorId="0" shapeId="0">
      <text>
        <t>Closing: MAX(0, Opening - Principal). Check: must equal next period Opening.</t>
      </text>
    </comment>
    <comment ref="C38" authorId="0" shapeId="0">
      <text>
        <t>Loan: TriState Capital, AMORTIZING. Source: Meiborg_Debt_Schedule_202512.xlsx - Loan 73</t>
      </text>
    </comment>
    <comment ref="D38" authorId="0" shapeId="0">
      <text>
        <t>Interest: MAX(0, Opening * AnnualRate/12). Source: Meiborg_Debt_Schedule_202512.xlsx - Loan 73</t>
      </text>
    </comment>
    <comment ref="E38" authorId="0" shapeId="0">
      <text>
        <t>Principal: MAX(0, MIN(Opening, Payment-Interest)). Source: Meiborg_Debt_Schedule_202512.xlsx - Loan 73</t>
      </text>
    </comment>
    <comment ref="F38" authorId="0" shapeId="0">
      <text>
        <t>Closing: MAX(0, Opening - Principal). Check: must equal next period Opening.</t>
      </text>
    </comment>
    <comment ref="C39" authorId="0" shapeId="0">
      <text>
        <t>Loan: TriState Capital, AMORTIZING. Source: Meiborg_Debt_Schedule_202512.xlsx - Loan 73</t>
      </text>
    </comment>
    <comment ref="D39" authorId="0" shapeId="0">
      <text>
        <t>Interest: MAX(0, Opening * AnnualRate/12). Source: Meiborg_Debt_Schedule_202512.xlsx - Loan 73</t>
      </text>
    </comment>
    <comment ref="E39" authorId="0" shapeId="0">
      <text>
        <t>Principal: MAX(0, MIN(Opening, Payment-Interest)). Source: Meiborg_Debt_Schedule_202512.xlsx - Loan 73</t>
      </text>
    </comment>
    <comment ref="F39" authorId="0" shapeId="0">
      <text>
        <t>Closing: MAX(0, Opening - Principal). Check: must equal next period Opening.</t>
      </text>
    </comment>
    <comment ref="C40" authorId="0" shapeId="0">
      <text>
        <t>Loan: TriState Capital, AMORTIZING. Source: Meiborg_Debt_Schedule_202512.xlsx - Loan 73</t>
      </text>
    </comment>
    <comment ref="D40" authorId="0" shapeId="0">
      <text>
        <t>Interest: MAX(0, Opening * AnnualRate/12). Source: Meiborg_Debt_Schedule_202512.xlsx - Loan 73</t>
      </text>
    </comment>
    <comment ref="E40" authorId="0" shapeId="0">
      <text>
        <t>Principal: MAX(0, MIN(Opening, Payment-Interest)). Source: Meiborg_Debt_Schedule_202512.xlsx - Loan 73</t>
      </text>
    </comment>
    <comment ref="F40" authorId="0" shapeId="0">
      <text>
        <t>Closing: MAX(0, Opening - Principal). Check: must equal next period Opening.</t>
      </text>
    </comment>
    <comment ref="C41" authorId="0" shapeId="0">
      <text>
        <t>Loan: TriState Capital, AMORTIZING. Source: Meiborg_Debt_Schedule_202512.xlsx - Loan 73</t>
      </text>
    </comment>
    <comment ref="D41" authorId="0" shapeId="0">
      <text>
        <t>Interest: MAX(0, Opening * AnnualRate/12). Source: Meiborg_Debt_Schedule_202512.xlsx - Loan 73</t>
      </text>
    </comment>
    <comment ref="E41" authorId="0" shapeId="0">
      <text>
        <t>Principal: MAX(0, MIN(Opening, Payment-Interest)). Source: Meiborg_Debt_Schedule_202512.xlsx - Loan 73</t>
      </text>
    </comment>
    <comment ref="F41" authorId="0" shapeId="0">
      <text>
        <t>Closing: MAX(0, Opening - Principal). Check: must equal next period Opening.</t>
      </text>
    </comment>
    <comment ref="C42" authorId="0" shapeId="0">
      <text>
        <t>Loan: TriState Capital, AMORTIZING. Source: Meiborg_Debt_Schedule_202512.xlsx - Loan 73</t>
      </text>
    </comment>
    <comment ref="D42" authorId="0" shapeId="0">
      <text>
        <t>Interest: MAX(0, Opening * AnnualRate/12). Source: Meiborg_Debt_Schedule_202512.xlsx - Loan 73</t>
      </text>
    </comment>
    <comment ref="E42" authorId="0" shapeId="0">
      <text>
        <t>Principal: MAX(0, MIN(Opening, Payment-Interest)). Source: Meiborg_Debt_Schedule_202512.xlsx - Loan 73</t>
      </text>
    </comment>
    <comment ref="F42" authorId="0" shapeId="0">
      <text>
        <t>Closing: MAX(0, Opening - Principal). Check: must equal next period Opening.</t>
      </text>
    </comment>
    <comment ref="C43" authorId="0" shapeId="0">
      <text>
        <t>Loan: TriState Capital, AMORTIZING. Source: Meiborg_Debt_Schedule_202512.xlsx - Loan 73</t>
      </text>
    </comment>
    <comment ref="D43" authorId="0" shapeId="0">
      <text>
        <t>Interest: MAX(0, Opening * AnnualRate/12). Source: Meiborg_Debt_Schedule_202512.xlsx - Loan 73</t>
      </text>
    </comment>
    <comment ref="E43" authorId="0" shapeId="0">
      <text>
        <t>Principal: MAX(0, MIN(Opening, Payment-Interest)). Source: Meiborg_Debt_Schedule_202512.xlsx - Loan 73</t>
      </text>
    </comment>
    <comment ref="F43" authorId="0" shapeId="0">
      <text>
        <t>Closing: MAX(0, Opening - Principal). Check: must equal next period Opening.</t>
      </text>
    </comment>
    <comment ref="C44" authorId="0" shapeId="0">
      <text>
        <t>Loan: TriState Capital, AMORTIZING. Source: Meiborg_Debt_Schedule_202512.xlsx - Loan 73</t>
      </text>
    </comment>
    <comment ref="D44" authorId="0" shapeId="0">
      <text>
        <t>Interest: MAX(0, Opening * AnnualRate/12). Source: Meiborg_Debt_Schedule_202512.xlsx - Loan 73</t>
      </text>
    </comment>
    <comment ref="E44" authorId="0" shapeId="0">
      <text>
        <t>Principal: MAX(0, MIN(Opening, Payment-Interest)). Source: Meiborg_Debt_Schedule_202512.xlsx - Loan 73</t>
      </text>
    </comment>
    <comment ref="F44" authorId="0" shapeId="0">
      <text>
        <t>Closing: MAX(0, Opening - Principal). Check: must equal next period Opening.</t>
      </text>
    </comment>
    <comment ref="C45" authorId="0" shapeId="0">
      <text>
        <t>Loan: TriState Capital, AMORTIZING. Source: Meiborg_Debt_Schedule_202512.xlsx - Loan 73</t>
      </text>
    </comment>
    <comment ref="D45" authorId="0" shapeId="0">
      <text>
        <t>Interest: MAX(0, Opening * AnnualRate/12). Source: Meiborg_Debt_Schedule_202512.xlsx - Loan 73</t>
      </text>
    </comment>
    <comment ref="E45" authorId="0" shapeId="0">
      <text>
        <t>Principal: MAX(0, MIN(Opening, Payment-Interest)). Source: Meiborg_Debt_Schedule_202512.xlsx - Loan 73</t>
      </text>
    </comment>
    <comment ref="F45" authorId="0" shapeId="0">
      <text>
        <t>Closing: MAX(0, Opening - Principal). Check: must equal next period Opening.</t>
      </text>
    </comment>
    <comment ref="C46" authorId="0" shapeId="0">
      <text>
        <t>Loan: TriState Capital, AMORTIZING. Source: Meiborg_Debt_Schedule_202512.xlsx - Loan 73</t>
      </text>
    </comment>
    <comment ref="D46" authorId="0" shapeId="0">
      <text>
        <t>Interest: MAX(0, Opening * AnnualRate/12). Source: Meiborg_Debt_Schedule_202512.xlsx - Loan 73</t>
      </text>
    </comment>
    <comment ref="E46" authorId="0" shapeId="0">
      <text>
        <t>Principal: MAX(0, MIN(Opening, Payment-Interest)). Source: Meiborg_Debt_Schedule_202512.xlsx - Loan 73</t>
      </text>
    </comment>
    <comment ref="F46" authorId="0" shapeId="0">
      <text>
        <t>Closing: MAX(0, Opening - Principal). Check: must equal next period Opening.</t>
      </text>
    </comment>
    <comment ref="C47" authorId="0" shapeId="0">
      <text>
        <t>Loan: TriState Capital, AMORTIZING. Source: Meiborg_Debt_Schedule_202512.xlsx - Loan 73</t>
      </text>
    </comment>
    <comment ref="D47" authorId="0" shapeId="0">
      <text>
        <t>Interest: MAX(0, Opening * AnnualRate/12). Source: Meiborg_Debt_Schedule_202512.xlsx - Loan 73</t>
      </text>
    </comment>
    <comment ref="E47" authorId="0" shapeId="0">
      <text>
        <t>Principal: MAX(0, MIN(Opening, Payment-Interest)). Source: Meiborg_Debt_Schedule_202512.xlsx - Loan 73</t>
      </text>
    </comment>
    <comment ref="F47" authorId="0" shapeId="0">
      <text>
        <t>Closing: MAX(0, Opening - Principal). Check: must equal next period Opening.</t>
      </text>
    </comment>
    <comment ref="C48" authorId="0" shapeId="0">
      <text>
        <t>Loan: TriState Capital, AMORTIZING. Source: Meiborg_Debt_Schedule_202512.xlsx - Loan 73</t>
      </text>
    </comment>
    <comment ref="D48" authorId="0" shapeId="0">
      <text>
        <t>Interest: MAX(0, Opening * AnnualRate/12). Source: Meiborg_Debt_Schedule_202512.xlsx - Loan 73</t>
      </text>
    </comment>
    <comment ref="E48" authorId="0" shapeId="0">
      <text>
        <t>Principal: MAX(0, MIN(Opening, Payment-Interest)). Source: Meiborg_Debt_Schedule_202512.xlsx - Loan 73</t>
      </text>
    </comment>
    <comment ref="F48" authorId="0" shapeId="0">
      <text>
        <t>Closing: MAX(0, Opening - Principal). Check: must equal next period Opening.</t>
      </text>
    </comment>
    <comment ref="C49" authorId="0" shapeId="0">
      <text>
        <t>Loan: TriState Capital, AMORTIZING. Source: Meiborg_Debt_Schedule_202512.xlsx - Loan 73</t>
      </text>
    </comment>
    <comment ref="D49" authorId="0" shapeId="0">
      <text>
        <t>Interest: MAX(0, Opening * AnnualRate/12). Source: Meiborg_Debt_Schedule_202512.xlsx - Loan 73</t>
      </text>
    </comment>
    <comment ref="E49" authorId="0" shapeId="0">
      <text>
        <t>Principal: MAX(0, MIN(Opening, Payment-Interest)). Source: Meiborg_Debt_Schedule_202512.xlsx - Loan 73</t>
      </text>
    </comment>
    <comment ref="F49" authorId="0" shapeId="0">
      <text>
        <t>Closing: MAX(0, Opening - Principal). Check: must equal next period Opening.</t>
      </text>
    </comment>
    <comment ref="C50" authorId="0" shapeId="0">
      <text>
        <t>Loan: TriState Capital, AMORTIZING. Source: Meiborg_Debt_Schedule_202512.xlsx - Loan 73</t>
      </text>
    </comment>
    <comment ref="D50" authorId="0" shapeId="0">
      <text>
        <t>Interest: MAX(0, Opening * AnnualRate/12). Source: Meiborg_Debt_Schedule_202512.xlsx - Loan 73</t>
      </text>
    </comment>
    <comment ref="E50" authorId="0" shapeId="0">
      <text>
        <t>Principal: MAX(0, MIN(Opening, Payment-Interest)). Source: Meiborg_Debt_Schedule_202512.xlsx - Loan 73</t>
      </text>
    </comment>
    <comment ref="F50" authorId="0" shapeId="0">
      <text>
        <t>Closing: MAX(0, Opening - Principal). Check: must equal next period Opening.</t>
      </text>
    </comment>
    <comment ref="C51" authorId="0" shapeId="0">
      <text>
        <t>Loan: TriState Capital, AMORTIZING. Source: Meiborg_Debt_Schedule_202512.xlsx - Loan 73</t>
      </text>
    </comment>
    <comment ref="D51" authorId="0" shapeId="0">
      <text>
        <t>Interest: MAX(0, Opening * AnnualRate/12). Source: Meiborg_Debt_Schedule_202512.xlsx - Loan 73</t>
      </text>
    </comment>
    <comment ref="E51" authorId="0" shapeId="0">
      <text>
        <t>Principal: MAX(0, MIN(Opening, Payment-Interest)). Source: Meiborg_Debt_Schedule_202512.xlsx - Loan 73</t>
      </text>
    </comment>
    <comment ref="F51" authorId="0" shapeId="0">
      <text>
        <t>Closing: MAX(0, Opening - Principal). Check: must equal next period Opening.</t>
      </text>
    </comment>
    <comment ref="C52" authorId="0" shapeId="0">
      <text>
        <t>Loan: TriState Capital, AMORTIZING. Source: Meiborg_Debt_Schedule_202512.xlsx - Loan 73</t>
      </text>
    </comment>
    <comment ref="D52" authorId="0" shapeId="0">
      <text>
        <t>Interest: MAX(0, Opening * AnnualRate/12). Source: Meiborg_Debt_Schedule_202512.xlsx - Loan 73</t>
      </text>
    </comment>
    <comment ref="E52" authorId="0" shapeId="0">
      <text>
        <t>Principal: MAX(0, MIN(Opening, Payment-Interest)). Source: Meiborg_Debt_Schedule_202512.xlsx - Loan 73</t>
      </text>
    </comment>
    <comment ref="F52" authorId="0" shapeId="0">
      <text>
        <t>Closing: MAX(0, Opening - Principal). Check: must equal next period Opening.</t>
      </text>
    </comment>
    <comment ref="C53" authorId="0" shapeId="0">
      <text>
        <t>Loan: TriState Capital, AMORTIZING. Source: Meiborg_Debt_Schedule_202512.xlsx - Loan 73</t>
      </text>
    </comment>
    <comment ref="D53" authorId="0" shapeId="0">
      <text>
        <t>Interest: MAX(0, Opening * AnnualRate/12). Source: Meiborg_Debt_Schedule_202512.xlsx - Loan 73</t>
      </text>
    </comment>
    <comment ref="E53" authorId="0" shapeId="0">
      <text>
        <t>Principal: MAX(0, MIN(Opening, Payment-Interest)). Source: Meiborg_Debt_Schedule_202512.xlsx - Loan 73</t>
      </text>
    </comment>
    <comment ref="F53" authorId="0" shapeId="0">
      <text>
        <t>Closing: MAX(0, Opening - Principal). Check: must equal next period Opening.</t>
      </text>
    </comment>
    <comment ref="C54" authorId="0" shapeId="0">
      <text>
        <t>Loan: TriState Capital, AMORTIZING. Source: Meiborg_Debt_Schedule_202512.xlsx - Loan 73</t>
      </text>
    </comment>
    <comment ref="D54" authorId="0" shapeId="0">
      <text>
        <t>Interest: MAX(0, Opening * AnnualRate/12). Source: Meiborg_Debt_Schedule_202512.xlsx - Loan 73</t>
      </text>
    </comment>
    <comment ref="E54" authorId="0" shapeId="0">
      <text>
        <t>Principal: MAX(0, MIN(Opening, Payment-Interest)). Source: Meiborg_Debt_Schedule_202512.xlsx - Loan 73</t>
      </text>
    </comment>
    <comment ref="F54" authorId="0" shapeId="0">
      <text>
        <t>Closing: MAX(0, Opening - Principal). Check: must equal next period Opening.</t>
      </text>
    </comment>
    <comment ref="C55" authorId="0" shapeId="0">
      <text>
        <t>Loan: TriState Capital, AMORTIZING. Source: Meiborg_Debt_Schedule_202512.xlsx - Loan 73</t>
      </text>
    </comment>
    <comment ref="D55" authorId="0" shapeId="0">
      <text>
        <t>Interest: MAX(0, Opening * AnnualRate/12). Source: Meiborg_Debt_Schedule_202512.xlsx - Loan 73</t>
      </text>
    </comment>
    <comment ref="E55" authorId="0" shapeId="0">
      <text>
        <t>Principal: MAX(0, MIN(Opening, Payment-Interest)). Source: Meiborg_Debt_Schedule_202512.xlsx - Loan 73</t>
      </text>
    </comment>
    <comment ref="F55" authorId="0" shapeId="0">
      <text>
        <t>Closing: MAX(0, Opening - Principal). Check: must equal next period Opening.</t>
      </text>
    </comment>
    <comment ref="C60" authorId="0" shapeId="0">
      <text>
        <t>Sum of rows 23-34: Monthly interest payments</t>
      </text>
    </comment>
    <comment ref="D60" authorId="0" shapeId="0">
      <text>
        <t>Sum of rows 23-34: Monthly principal payments</t>
      </text>
    </comment>
    <comment ref="E60" authorId="0" shapeId="0">
      <text>
        <t>Links to: row 34 - Closing Balance for Dec 2026</t>
      </text>
    </comment>
    <comment ref="C61" authorId="0" shapeId="0">
      <text>
        <t>Sum of rows 35-46: Monthly interest payments</t>
      </text>
    </comment>
    <comment ref="D61" authorId="0" shapeId="0">
      <text>
        <t>Sum of rows 35-46: Monthly principal payments</t>
      </text>
    </comment>
    <comment ref="E61" authorId="0" shapeId="0">
      <text>
        <t>Links to: row 46 - Closing Balance for Dec 2027</t>
      </text>
    </comment>
    <comment ref="C62" authorId="0" shapeId="0">
      <text>
        <t>Sum of rows 47-55: Monthly interest payments</t>
      </text>
    </comment>
    <comment ref="D62" authorId="0" shapeId="0">
      <text>
        <t>Sum of rows 47-55: Monthly principal payments</t>
      </text>
    </comment>
    <comment ref="E62" authorId="0" shapeId="0">
      <text>
        <t>Links to: row 55 - Closing Balance for Dec 2028</t>
      </text>
    </comment>
    <comment ref="B66" authorId="0" shapeId="0">
      <text>
        <t>Links to: row 8 - Current Balance as of 12/31/2025. For Debt Schedule linking.</t>
      </text>
    </comment>
  </commentList>
</comments>
</file>

<file path=xl/comments/comment48.xml><?xml version="1.0" encoding="utf-8"?>
<comments xmlns="http://schemas.openxmlformats.org/spreadsheetml/2006/main">
  <authors>
    <author>Model Builder</author>
  </authors>
  <commentList>
    <comment ref="B7" authorId="0" shapeId="0">
      <text>
        <t>Source: Meiborg_Debt_Schedule_202512.xlsx - Loan 74
Extracted: 2025-12-31</t>
      </text>
    </comment>
    <comment ref="B8" authorId="0" shapeId="0">
      <text>
        <t>Source: Meiborg_Debt_Schedule_202512.xlsx - Loan 74
Extracted: 2025-12-31</t>
      </text>
    </comment>
    <comment ref="B9" authorId="0" shapeId="0">
      <text>
        <t>Loan: TriState Capital, AMORTIZING. Source: Meiborg_Debt_Schedule_202512.xlsx - Loan 74</t>
      </text>
    </comment>
    <comment ref="B10" authorId="0" shapeId="0">
      <text>
        <t>Fixed monthly payment. Source: Meiborg_Debt_Schedule_202512.xlsx - Loan 74</t>
      </text>
    </comment>
    <comment ref="C23" authorId="0" shapeId="0">
      <text>
        <t>Loan: TriState Capital, AMORTIZING. Source: Meiborg_Debt_Schedule_202512.xlsx - Loan 74</t>
      </text>
    </comment>
    <comment ref="D23" authorId="0" shapeId="0">
      <text>
        <t>Interest: MAX(0, Opening * AnnualRate/12). Source: Meiborg_Debt_Schedule_202512.xlsx - Loan 74</t>
      </text>
    </comment>
    <comment ref="E23" authorId="0" shapeId="0">
      <text>
        <t>Principal: MAX(0, MIN(Opening, Payment-Interest)). Source: Meiborg_Debt_Schedule_202512.xlsx - Loan 74</t>
      </text>
    </comment>
    <comment ref="F23" authorId="0" shapeId="0">
      <text>
        <t>Closing: MAX(0, Opening - Principal). Check: must equal next period Opening.</t>
      </text>
    </comment>
    <comment ref="C24" authorId="0" shapeId="0">
      <text>
        <t>Loan: TriState Capital, AMORTIZING. Source: Meiborg_Debt_Schedule_202512.xlsx - Loan 74</t>
      </text>
    </comment>
    <comment ref="D24" authorId="0" shapeId="0">
      <text>
        <t>Interest: MAX(0, Opening * AnnualRate/12). Source: Meiborg_Debt_Schedule_202512.xlsx - Loan 74</t>
      </text>
    </comment>
    <comment ref="E24" authorId="0" shapeId="0">
      <text>
        <t>Principal: MAX(0, MIN(Opening, Payment-Interest)). Source: Meiborg_Debt_Schedule_202512.xlsx - Loan 74</t>
      </text>
    </comment>
    <comment ref="F24" authorId="0" shapeId="0">
      <text>
        <t>Closing: MAX(0, Opening - Principal). Check: must equal next period Opening.</t>
      </text>
    </comment>
    <comment ref="C25" authorId="0" shapeId="0">
      <text>
        <t>Loan: TriState Capital, AMORTIZING. Source: Meiborg_Debt_Schedule_202512.xlsx - Loan 74</t>
      </text>
    </comment>
    <comment ref="D25" authorId="0" shapeId="0">
      <text>
        <t>Interest: MAX(0, Opening * AnnualRate/12). Source: Meiborg_Debt_Schedule_202512.xlsx - Loan 74</t>
      </text>
    </comment>
    <comment ref="E25" authorId="0" shapeId="0">
      <text>
        <t>Principal: MAX(0, MIN(Opening, Payment-Interest)). Source: Meiborg_Debt_Schedule_202512.xlsx - Loan 74</t>
      </text>
    </comment>
    <comment ref="F25" authorId="0" shapeId="0">
      <text>
        <t>Closing: MAX(0, Opening - Principal). Check: must equal next period Opening.</t>
      </text>
    </comment>
    <comment ref="C26" authorId="0" shapeId="0">
      <text>
        <t>Loan: TriState Capital, AMORTIZING. Source: Meiborg_Debt_Schedule_202512.xlsx - Loan 74</t>
      </text>
    </comment>
    <comment ref="D26" authorId="0" shapeId="0">
      <text>
        <t>Interest: MAX(0, Opening * AnnualRate/12). Source: Meiborg_Debt_Schedule_202512.xlsx - Loan 74</t>
      </text>
    </comment>
    <comment ref="E26" authorId="0" shapeId="0">
      <text>
        <t>Principal: MAX(0, MIN(Opening, Payment-Interest)). Source: Meiborg_Debt_Schedule_202512.xlsx - Loan 74</t>
      </text>
    </comment>
    <comment ref="F26" authorId="0" shapeId="0">
      <text>
        <t>Closing: MAX(0, Opening - Principal). Check: must equal next period Opening.</t>
      </text>
    </comment>
    <comment ref="C27" authorId="0" shapeId="0">
      <text>
        <t>Loan: TriState Capital, AMORTIZING. Source: Meiborg_Debt_Schedule_202512.xlsx - Loan 74</t>
      </text>
    </comment>
    <comment ref="D27" authorId="0" shapeId="0">
      <text>
        <t>Interest: MAX(0, Opening * AnnualRate/12). Source: Meiborg_Debt_Schedule_202512.xlsx - Loan 74</t>
      </text>
    </comment>
    <comment ref="E27" authorId="0" shapeId="0">
      <text>
        <t>Principal: MAX(0, MIN(Opening, Payment-Interest)). Source: Meiborg_Debt_Schedule_202512.xlsx - Loan 74</t>
      </text>
    </comment>
    <comment ref="F27" authorId="0" shapeId="0">
      <text>
        <t>Closing: MAX(0, Opening - Principal). Check: must equal next period Opening.</t>
      </text>
    </comment>
    <comment ref="C28" authorId="0" shapeId="0">
      <text>
        <t>Loan: TriState Capital, AMORTIZING. Source: Meiborg_Debt_Schedule_202512.xlsx - Loan 74</t>
      </text>
    </comment>
    <comment ref="D28" authorId="0" shapeId="0">
      <text>
        <t>Interest: MAX(0, Opening * AnnualRate/12). Source: Meiborg_Debt_Schedule_202512.xlsx - Loan 74</t>
      </text>
    </comment>
    <comment ref="E28" authorId="0" shapeId="0">
      <text>
        <t>Principal: MAX(0, MIN(Opening, Payment-Interest)). Source: Meiborg_Debt_Schedule_202512.xlsx - Loan 74</t>
      </text>
    </comment>
    <comment ref="F28" authorId="0" shapeId="0">
      <text>
        <t>Closing: MAX(0, Opening - Principal). Check: must equal next period Opening.</t>
      </text>
    </comment>
    <comment ref="C29" authorId="0" shapeId="0">
      <text>
        <t>Loan: TriState Capital, AMORTIZING. Source: Meiborg_Debt_Schedule_202512.xlsx - Loan 74</t>
      </text>
    </comment>
    <comment ref="D29" authorId="0" shapeId="0">
      <text>
        <t>Interest: MAX(0, Opening * AnnualRate/12). Source: Meiborg_Debt_Schedule_202512.xlsx - Loan 74</t>
      </text>
    </comment>
    <comment ref="E29" authorId="0" shapeId="0">
      <text>
        <t>Principal: MAX(0, MIN(Opening, Payment-Interest)). Source: Meiborg_Debt_Schedule_202512.xlsx - Loan 74</t>
      </text>
    </comment>
    <comment ref="F29" authorId="0" shapeId="0">
      <text>
        <t>Closing: MAX(0, Opening - Principal). Check: must equal next period Opening.</t>
      </text>
    </comment>
    <comment ref="C30" authorId="0" shapeId="0">
      <text>
        <t>Loan: TriState Capital, AMORTIZING. Source: Meiborg_Debt_Schedule_202512.xlsx - Loan 74</t>
      </text>
    </comment>
    <comment ref="D30" authorId="0" shapeId="0">
      <text>
        <t>Interest: MAX(0, Opening * AnnualRate/12). Source: Meiborg_Debt_Schedule_202512.xlsx - Loan 74</t>
      </text>
    </comment>
    <comment ref="E30" authorId="0" shapeId="0">
      <text>
        <t>Principal: MAX(0, MIN(Opening, Payment-Interest)). Source: Meiborg_Debt_Schedule_202512.xlsx - Loan 74</t>
      </text>
    </comment>
    <comment ref="F30" authorId="0" shapeId="0">
      <text>
        <t>Closing: MAX(0, Opening - Principal). Check: must equal next period Opening.</t>
      </text>
    </comment>
    <comment ref="C31" authorId="0" shapeId="0">
      <text>
        <t>Loan: TriState Capital, AMORTIZING. Source: Meiborg_Debt_Schedule_202512.xlsx - Loan 74</t>
      </text>
    </comment>
    <comment ref="D31" authorId="0" shapeId="0">
      <text>
        <t>Interest: MAX(0, Opening * AnnualRate/12). Source: Meiborg_Debt_Schedule_202512.xlsx - Loan 74</t>
      </text>
    </comment>
    <comment ref="E31" authorId="0" shapeId="0">
      <text>
        <t>Principal: MAX(0, MIN(Opening, Payment-Interest)). Source: Meiborg_Debt_Schedule_202512.xlsx - Loan 74</t>
      </text>
    </comment>
    <comment ref="F31" authorId="0" shapeId="0">
      <text>
        <t>Closing: MAX(0, Opening - Principal). Check: must equal next period Opening.</t>
      </text>
    </comment>
    <comment ref="C32" authorId="0" shapeId="0">
      <text>
        <t>Loan: TriState Capital, AMORTIZING. Source: Meiborg_Debt_Schedule_202512.xlsx - Loan 74</t>
      </text>
    </comment>
    <comment ref="D32" authorId="0" shapeId="0">
      <text>
        <t>Interest: MAX(0, Opening * AnnualRate/12). Source: Meiborg_Debt_Schedule_202512.xlsx - Loan 74</t>
      </text>
    </comment>
    <comment ref="E32" authorId="0" shapeId="0">
      <text>
        <t>Principal: MAX(0, MIN(Opening, Payment-Interest)). Source: Meiborg_Debt_Schedule_202512.xlsx - Loan 74</t>
      </text>
    </comment>
    <comment ref="F32" authorId="0" shapeId="0">
      <text>
        <t>Closing: MAX(0, Opening - Principal). Check: must equal next period Opening.</t>
      </text>
    </comment>
    <comment ref="C33" authorId="0" shapeId="0">
      <text>
        <t>Loan: TriState Capital, AMORTIZING. Source: Meiborg_Debt_Schedule_202512.xlsx - Loan 74</t>
      </text>
    </comment>
    <comment ref="D33" authorId="0" shapeId="0">
      <text>
        <t>Interest: MAX(0, Opening * AnnualRate/12). Source: Meiborg_Debt_Schedule_202512.xlsx - Loan 74</t>
      </text>
    </comment>
    <comment ref="E33" authorId="0" shapeId="0">
      <text>
        <t>Principal: MAX(0, MIN(Opening, Payment-Interest)). Source: Meiborg_Debt_Schedule_202512.xlsx - Loan 74</t>
      </text>
    </comment>
    <comment ref="F33" authorId="0" shapeId="0">
      <text>
        <t>Closing: MAX(0, Opening - Principal). Check: must equal next period Opening.</t>
      </text>
    </comment>
    <comment ref="C34" authorId="0" shapeId="0">
      <text>
        <t>Loan: TriState Capital, AMORTIZING. Source: Meiborg_Debt_Schedule_202512.xlsx - Loan 74</t>
      </text>
    </comment>
    <comment ref="D34" authorId="0" shapeId="0">
      <text>
        <t>Interest: MAX(0, Opening * AnnualRate/12). Source: Meiborg_Debt_Schedule_202512.xlsx - Loan 74</t>
      </text>
    </comment>
    <comment ref="E34" authorId="0" shapeId="0">
      <text>
        <t>Principal: MAX(0, MIN(Opening, Payment-Interest)). Source: Meiborg_Debt_Schedule_202512.xlsx - Loan 74</t>
      </text>
    </comment>
    <comment ref="F34" authorId="0" shapeId="0">
      <text>
        <t>Closing: MAX(0, Opening - Principal). Check: must equal next period Opening.</t>
      </text>
    </comment>
    <comment ref="C35" authorId="0" shapeId="0">
      <text>
        <t>Loan: TriState Capital, AMORTIZING. Source: Meiborg_Debt_Schedule_202512.xlsx - Loan 74</t>
      </text>
    </comment>
    <comment ref="D35" authorId="0" shapeId="0">
      <text>
        <t>Interest: MAX(0, Opening * AnnualRate/12). Source: Meiborg_Debt_Schedule_202512.xlsx - Loan 74</t>
      </text>
    </comment>
    <comment ref="E35" authorId="0" shapeId="0">
      <text>
        <t>Principal: MAX(0, MIN(Opening, Payment-Interest)). Source: Meiborg_Debt_Schedule_202512.xlsx - Loan 74</t>
      </text>
    </comment>
    <comment ref="F35" authorId="0" shapeId="0">
      <text>
        <t>Closing: MAX(0, Opening - Principal). Check: must equal next period Opening.</t>
      </text>
    </comment>
    <comment ref="C36" authorId="0" shapeId="0">
      <text>
        <t>Loan: TriState Capital, AMORTIZING. Source: Meiborg_Debt_Schedule_202512.xlsx - Loan 74</t>
      </text>
    </comment>
    <comment ref="D36" authorId="0" shapeId="0">
      <text>
        <t>Interest: MAX(0, Opening * AnnualRate/12). Source: Meiborg_Debt_Schedule_202512.xlsx - Loan 74</t>
      </text>
    </comment>
    <comment ref="E36" authorId="0" shapeId="0">
      <text>
        <t>Principal: MAX(0, MIN(Opening, Payment-Interest)). Source: Meiborg_Debt_Schedule_202512.xlsx - Loan 74</t>
      </text>
    </comment>
    <comment ref="F36" authorId="0" shapeId="0">
      <text>
        <t>Closing: MAX(0, Opening - Principal). Check: must equal next period Opening.</t>
      </text>
    </comment>
    <comment ref="C37" authorId="0" shapeId="0">
      <text>
        <t>Loan: TriState Capital, AMORTIZING. Source: Meiborg_Debt_Schedule_202512.xlsx - Loan 74</t>
      </text>
    </comment>
    <comment ref="D37" authorId="0" shapeId="0">
      <text>
        <t>Interest: MAX(0, Opening * AnnualRate/12). Source: Meiborg_Debt_Schedule_202512.xlsx - Loan 74</t>
      </text>
    </comment>
    <comment ref="E37" authorId="0" shapeId="0">
      <text>
        <t>Principal: MAX(0, MIN(Opening, Payment-Interest)). Source: Meiborg_Debt_Schedule_202512.xlsx - Loan 74</t>
      </text>
    </comment>
    <comment ref="F37" authorId="0" shapeId="0">
      <text>
        <t>Closing: MAX(0, Opening - Principal). Check: must equal next period Opening.</t>
      </text>
    </comment>
    <comment ref="C38" authorId="0" shapeId="0">
      <text>
        <t>Loan: TriState Capital, AMORTIZING. Source: Meiborg_Debt_Schedule_202512.xlsx - Loan 74</t>
      </text>
    </comment>
    <comment ref="D38" authorId="0" shapeId="0">
      <text>
        <t>Interest: MAX(0, Opening * AnnualRate/12). Source: Meiborg_Debt_Schedule_202512.xlsx - Loan 74</t>
      </text>
    </comment>
    <comment ref="E38" authorId="0" shapeId="0">
      <text>
        <t>Principal: MAX(0, MIN(Opening, Payment-Interest)). Source: Meiborg_Debt_Schedule_202512.xlsx - Loan 74</t>
      </text>
    </comment>
    <comment ref="F38" authorId="0" shapeId="0">
      <text>
        <t>Closing: MAX(0, Opening - Principal). Check: must equal next period Opening.</t>
      </text>
    </comment>
    <comment ref="C39" authorId="0" shapeId="0">
      <text>
        <t>Loan: TriState Capital, AMORTIZING. Source: Meiborg_Debt_Schedule_202512.xlsx - Loan 74</t>
      </text>
    </comment>
    <comment ref="D39" authorId="0" shapeId="0">
      <text>
        <t>Interest: MAX(0, Opening * AnnualRate/12). Source: Meiborg_Debt_Schedule_202512.xlsx - Loan 74</t>
      </text>
    </comment>
    <comment ref="E39" authorId="0" shapeId="0">
      <text>
        <t>Principal: MAX(0, MIN(Opening, Payment-Interest)). Source: Meiborg_Debt_Schedule_202512.xlsx - Loan 74</t>
      </text>
    </comment>
    <comment ref="F39" authorId="0" shapeId="0">
      <text>
        <t>Closing: MAX(0, Opening - Principal). Check: must equal next period Opening.</t>
      </text>
    </comment>
    <comment ref="C40" authorId="0" shapeId="0">
      <text>
        <t>Loan: TriState Capital, AMORTIZING. Source: Meiborg_Debt_Schedule_202512.xlsx - Loan 74</t>
      </text>
    </comment>
    <comment ref="D40" authorId="0" shapeId="0">
      <text>
        <t>Interest: MAX(0, Opening * AnnualRate/12). Source: Meiborg_Debt_Schedule_202512.xlsx - Loan 74</t>
      </text>
    </comment>
    <comment ref="E40" authorId="0" shapeId="0">
      <text>
        <t>Principal: MAX(0, MIN(Opening, Payment-Interest)). Source: Meiborg_Debt_Schedule_202512.xlsx - Loan 74</t>
      </text>
    </comment>
    <comment ref="F40" authorId="0" shapeId="0">
      <text>
        <t>Closing: MAX(0, Opening - Principal). Check: must equal next period Opening.</t>
      </text>
    </comment>
    <comment ref="C41" authorId="0" shapeId="0">
      <text>
        <t>Loan: TriState Capital, AMORTIZING. Source: Meiborg_Debt_Schedule_202512.xlsx - Loan 74</t>
      </text>
    </comment>
    <comment ref="D41" authorId="0" shapeId="0">
      <text>
        <t>Interest: MAX(0, Opening * AnnualRate/12). Source: Meiborg_Debt_Schedule_202512.xlsx - Loan 74</t>
      </text>
    </comment>
    <comment ref="E41" authorId="0" shapeId="0">
      <text>
        <t>Principal: MAX(0, MIN(Opening, Payment-Interest)). Source: Meiborg_Debt_Schedule_202512.xlsx - Loan 74</t>
      </text>
    </comment>
    <comment ref="F41" authorId="0" shapeId="0">
      <text>
        <t>Closing: MAX(0, Opening - Principal). Check: must equal next period Opening.</t>
      </text>
    </comment>
    <comment ref="C42" authorId="0" shapeId="0">
      <text>
        <t>Loan: TriState Capital, AMORTIZING. Source: Meiborg_Debt_Schedule_202512.xlsx - Loan 74</t>
      </text>
    </comment>
    <comment ref="D42" authorId="0" shapeId="0">
      <text>
        <t>Interest: MAX(0, Opening * AnnualRate/12). Source: Meiborg_Debt_Schedule_202512.xlsx - Loan 74</t>
      </text>
    </comment>
    <comment ref="E42" authorId="0" shapeId="0">
      <text>
        <t>Principal: MAX(0, MIN(Opening, Payment-Interest)). Source: Meiborg_Debt_Schedule_202512.xlsx - Loan 74</t>
      </text>
    </comment>
    <comment ref="F42" authorId="0" shapeId="0">
      <text>
        <t>Closing: MAX(0, Opening - Principal). Check: must equal next period Opening.</t>
      </text>
    </comment>
    <comment ref="C43" authorId="0" shapeId="0">
      <text>
        <t>Loan: TriState Capital, AMORTIZING. Source: Meiborg_Debt_Schedule_202512.xlsx - Loan 74</t>
      </text>
    </comment>
    <comment ref="D43" authorId="0" shapeId="0">
      <text>
        <t>Interest: MAX(0, Opening * AnnualRate/12). Source: Meiborg_Debt_Schedule_202512.xlsx - Loan 74</t>
      </text>
    </comment>
    <comment ref="E43" authorId="0" shapeId="0">
      <text>
        <t>Principal: MAX(0, MIN(Opening, Payment-Interest)). Source: Meiborg_Debt_Schedule_202512.xlsx - Loan 74</t>
      </text>
    </comment>
    <comment ref="F43" authorId="0" shapeId="0">
      <text>
        <t>Closing: MAX(0, Opening - Principal). Check: must equal next period Opening.</t>
      </text>
    </comment>
    <comment ref="C44" authorId="0" shapeId="0">
      <text>
        <t>Loan: TriState Capital, AMORTIZING. Source: Meiborg_Debt_Schedule_202512.xlsx - Loan 74</t>
      </text>
    </comment>
    <comment ref="D44" authorId="0" shapeId="0">
      <text>
        <t>Interest: MAX(0, Opening * AnnualRate/12). Source: Meiborg_Debt_Schedule_202512.xlsx - Loan 74</t>
      </text>
    </comment>
    <comment ref="E44" authorId="0" shapeId="0">
      <text>
        <t>Principal: MAX(0, MIN(Opening, Payment-Interest)). Source: Meiborg_Debt_Schedule_202512.xlsx - Loan 74</t>
      </text>
    </comment>
    <comment ref="F44" authorId="0" shapeId="0">
      <text>
        <t>Closing: MAX(0, Opening - Principal). Check: must equal next period Opening.</t>
      </text>
    </comment>
    <comment ref="C45" authorId="0" shapeId="0">
      <text>
        <t>Loan: TriState Capital, AMORTIZING. Source: Meiborg_Debt_Schedule_202512.xlsx - Loan 74</t>
      </text>
    </comment>
    <comment ref="D45" authorId="0" shapeId="0">
      <text>
        <t>Interest: MAX(0, Opening * AnnualRate/12). Source: Meiborg_Debt_Schedule_202512.xlsx - Loan 74</t>
      </text>
    </comment>
    <comment ref="E45" authorId="0" shapeId="0">
      <text>
        <t>Principal: MAX(0, MIN(Opening, Payment-Interest)). Source: Meiborg_Debt_Schedule_202512.xlsx - Loan 74</t>
      </text>
    </comment>
    <comment ref="F45" authorId="0" shapeId="0">
      <text>
        <t>Closing: MAX(0, Opening - Principal). Check: must equal next period Opening.</t>
      </text>
    </comment>
    <comment ref="C46" authorId="0" shapeId="0">
      <text>
        <t>Loan: TriState Capital, AMORTIZING. Source: Meiborg_Debt_Schedule_202512.xlsx - Loan 74</t>
      </text>
    </comment>
    <comment ref="D46" authorId="0" shapeId="0">
      <text>
        <t>Interest: MAX(0, Opening * AnnualRate/12). Source: Meiborg_Debt_Schedule_202512.xlsx - Loan 74</t>
      </text>
    </comment>
    <comment ref="E46" authorId="0" shapeId="0">
      <text>
        <t>Principal: MAX(0, MIN(Opening, Payment-Interest)). Source: Meiborg_Debt_Schedule_202512.xlsx - Loan 74</t>
      </text>
    </comment>
    <comment ref="F46" authorId="0" shapeId="0">
      <text>
        <t>Closing: MAX(0, Opening - Principal). Check: must equal next period Opening.</t>
      </text>
    </comment>
    <comment ref="C47" authorId="0" shapeId="0">
      <text>
        <t>Loan: TriState Capital, AMORTIZING. Source: Meiborg_Debt_Schedule_202512.xlsx - Loan 74</t>
      </text>
    </comment>
    <comment ref="D47" authorId="0" shapeId="0">
      <text>
        <t>Interest: MAX(0, Opening * AnnualRate/12). Source: Meiborg_Debt_Schedule_202512.xlsx - Loan 74</t>
      </text>
    </comment>
    <comment ref="E47" authorId="0" shapeId="0">
      <text>
        <t>Principal: MAX(0, MIN(Opening, Payment-Interest)). Source: Meiborg_Debt_Schedule_202512.xlsx - Loan 74</t>
      </text>
    </comment>
    <comment ref="F47" authorId="0" shapeId="0">
      <text>
        <t>Closing: MAX(0, Opening - Principal). Check: must equal next period Opening.</t>
      </text>
    </comment>
    <comment ref="C48" authorId="0" shapeId="0">
      <text>
        <t>Loan: TriState Capital, AMORTIZING. Source: Meiborg_Debt_Schedule_202512.xlsx - Loan 74</t>
      </text>
    </comment>
    <comment ref="D48" authorId="0" shapeId="0">
      <text>
        <t>Interest: MAX(0, Opening * AnnualRate/12). Source: Meiborg_Debt_Schedule_202512.xlsx - Loan 74</t>
      </text>
    </comment>
    <comment ref="E48" authorId="0" shapeId="0">
      <text>
        <t>Principal: MAX(0, MIN(Opening, Payment-Interest)). Source: Meiborg_Debt_Schedule_202512.xlsx - Loan 74</t>
      </text>
    </comment>
    <comment ref="F48" authorId="0" shapeId="0">
      <text>
        <t>Closing: MAX(0, Opening - Principal). Check: must equal next period Opening.</t>
      </text>
    </comment>
    <comment ref="C49" authorId="0" shapeId="0">
      <text>
        <t>Loan: TriState Capital, AMORTIZING. Source: Meiborg_Debt_Schedule_202512.xlsx - Loan 74</t>
      </text>
    </comment>
    <comment ref="D49" authorId="0" shapeId="0">
      <text>
        <t>Interest: MAX(0, Opening * AnnualRate/12). Source: Meiborg_Debt_Schedule_202512.xlsx - Loan 74</t>
      </text>
    </comment>
    <comment ref="E49" authorId="0" shapeId="0">
      <text>
        <t>Principal: MAX(0, MIN(Opening, Payment-Interest)). Source: Meiborg_Debt_Schedule_202512.xlsx - Loan 74</t>
      </text>
    </comment>
    <comment ref="F49" authorId="0" shapeId="0">
      <text>
        <t>Closing: MAX(0, Opening - Principal). Check: must equal next period Opening.</t>
      </text>
    </comment>
    <comment ref="C50" authorId="0" shapeId="0">
      <text>
        <t>Loan: TriState Capital, AMORTIZING. Source: Meiborg_Debt_Schedule_202512.xlsx - Loan 74</t>
      </text>
    </comment>
    <comment ref="D50" authorId="0" shapeId="0">
      <text>
        <t>Interest: MAX(0, Opening * AnnualRate/12). Source: Meiborg_Debt_Schedule_202512.xlsx - Loan 74</t>
      </text>
    </comment>
    <comment ref="E50" authorId="0" shapeId="0">
      <text>
        <t>Principal: MAX(0, MIN(Opening, Payment-Interest)). Source: Meiborg_Debt_Schedule_202512.xlsx - Loan 74</t>
      </text>
    </comment>
    <comment ref="F50" authorId="0" shapeId="0">
      <text>
        <t>Closing: MAX(0, Opening - Principal). Check: must equal next period Opening.</t>
      </text>
    </comment>
    <comment ref="C51" authorId="0" shapeId="0">
      <text>
        <t>Loan: TriState Capital, AMORTIZING. Source: Meiborg_Debt_Schedule_202512.xlsx - Loan 74</t>
      </text>
    </comment>
    <comment ref="D51" authorId="0" shapeId="0">
      <text>
        <t>Interest: MAX(0, Opening * AnnualRate/12). Source: Meiborg_Debt_Schedule_202512.xlsx - Loan 74</t>
      </text>
    </comment>
    <comment ref="E51" authorId="0" shapeId="0">
      <text>
        <t>Principal: MAX(0, MIN(Opening, Payment-Interest)). Source: Meiborg_Debt_Schedule_202512.xlsx - Loan 74</t>
      </text>
    </comment>
    <comment ref="F51" authorId="0" shapeId="0">
      <text>
        <t>Closing: MAX(0, Opening - Principal). Check: must equal next period Opening.</t>
      </text>
    </comment>
    <comment ref="C52" authorId="0" shapeId="0">
      <text>
        <t>Loan: TriState Capital, AMORTIZING. Source: Meiborg_Debt_Schedule_202512.xlsx - Loan 74</t>
      </text>
    </comment>
    <comment ref="D52" authorId="0" shapeId="0">
      <text>
        <t>Interest: MAX(0, Opening * AnnualRate/12). Source: Meiborg_Debt_Schedule_202512.xlsx - Loan 74</t>
      </text>
    </comment>
    <comment ref="E52" authorId="0" shapeId="0">
      <text>
        <t>Principal: MAX(0, MIN(Opening, Payment-Interest)). Source: Meiborg_Debt_Schedule_202512.xlsx - Loan 74</t>
      </text>
    </comment>
    <comment ref="F52" authorId="0" shapeId="0">
      <text>
        <t>Closing: MAX(0, Opening - Principal). Check: must equal next period Opening.</t>
      </text>
    </comment>
    <comment ref="C53" authorId="0" shapeId="0">
      <text>
        <t>Loan: TriState Capital, AMORTIZING. Source: Meiborg_Debt_Schedule_202512.xlsx - Loan 74</t>
      </text>
    </comment>
    <comment ref="D53" authorId="0" shapeId="0">
      <text>
        <t>Interest: MAX(0, Opening * AnnualRate/12). Source: Meiborg_Debt_Schedule_202512.xlsx - Loan 74</t>
      </text>
    </comment>
    <comment ref="E53" authorId="0" shapeId="0">
      <text>
        <t>Principal: MAX(0, MIN(Opening, Payment-Interest)). Source: Meiborg_Debt_Schedule_202512.xlsx - Loan 74</t>
      </text>
    </comment>
    <comment ref="F53" authorId="0" shapeId="0">
      <text>
        <t>Closing: MAX(0, Opening - Principal). Check: must equal next period Opening.</t>
      </text>
    </comment>
    <comment ref="C54" authorId="0" shapeId="0">
      <text>
        <t>Loan: TriState Capital, AMORTIZING. Source: Meiborg_Debt_Schedule_202512.xlsx - Loan 74</t>
      </text>
    </comment>
    <comment ref="D54" authorId="0" shapeId="0">
      <text>
        <t>Interest: MAX(0, Opening * AnnualRate/12). Source: Meiborg_Debt_Schedule_202512.xlsx - Loan 74</t>
      </text>
    </comment>
    <comment ref="E54" authorId="0" shapeId="0">
      <text>
        <t>Principal: MAX(0, MIN(Opening, Payment-Interest)). Source: Meiborg_Debt_Schedule_202512.xlsx - Loan 74</t>
      </text>
    </comment>
    <comment ref="F54" authorId="0" shapeId="0">
      <text>
        <t>Closing: MAX(0, Opening - Principal). Check: must equal next period Opening.</t>
      </text>
    </comment>
    <comment ref="C55" authorId="0" shapeId="0">
      <text>
        <t>Loan: TriState Capital, AMORTIZING. Source: Meiborg_Debt_Schedule_202512.xlsx - Loan 74</t>
      </text>
    </comment>
    <comment ref="D55" authorId="0" shapeId="0">
      <text>
        <t>Interest: MAX(0, Opening * AnnualRate/12). Source: Meiborg_Debt_Schedule_202512.xlsx - Loan 74</t>
      </text>
    </comment>
    <comment ref="E55" authorId="0" shapeId="0">
      <text>
        <t>Principal: MAX(0, MIN(Opening, Payment-Interest)). Source: Meiborg_Debt_Schedule_202512.xlsx - Loan 74</t>
      </text>
    </comment>
    <comment ref="F55" authorId="0" shapeId="0">
      <text>
        <t>Closing: MAX(0, Opening - Principal). Check: must equal next period Opening.</t>
      </text>
    </comment>
    <comment ref="C56" authorId="0" shapeId="0">
      <text>
        <t>Loan: TriState Capital, AMORTIZING. Source: Meiborg_Debt_Schedule_202512.xlsx - Loan 74</t>
      </text>
    </comment>
    <comment ref="D56" authorId="0" shapeId="0">
      <text>
        <t>Interest: MAX(0, Opening * AnnualRate/12). Source: Meiborg_Debt_Schedule_202512.xlsx - Loan 74</t>
      </text>
    </comment>
    <comment ref="E56" authorId="0" shapeId="0">
      <text>
        <t>Principal: MAX(0, MIN(Opening, Payment-Interest)). Source: Meiborg_Debt_Schedule_202512.xlsx - Loan 74</t>
      </text>
    </comment>
    <comment ref="F56" authorId="0" shapeId="0">
      <text>
        <t>Closing: MAX(0, Opening - Principal). Check: must equal next period Opening.</t>
      </text>
    </comment>
    <comment ref="C57" authorId="0" shapeId="0">
      <text>
        <t>Loan: TriState Capital, AMORTIZING. Source: Meiborg_Debt_Schedule_202512.xlsx - Loan 74</t>
      </text>
    </comment>
    <comment ref="D57" authorId="0" shapeId="0">
      <text>
        <t>Interest: MAX(0, Opening * AnnualRate/12). Source: Meiborg_Debt_Schedule_202512.xlsx - Loan 74</t>
      </text>
    </comment>
    <comment ref="E57" authorId="0" shapeId="0">
      <text>
        <t>Principal: MAX(0, MIN(Opening, Payment-Interest)). Source: Meiborg_Debt_Schedule_202512.xlsx - Loan 74</t>
      </text>
    </comment>
    <comment ref="F57" authorId="0" shapeId="0">
      <text>
        <t>Closing: MAX(0, Opening - Principal). Check: must equal next period Opening.</t>
      </text>
    </comment>
    <comment ref="C58" authorId="0" shapeId="0">
      <text>
        <t>Loan: TriState Capital, AMORTIZING. Source: Meiborg_Debt_Schedule_202512.xlsx - Loan 74</t>
      </text>
    </comment>
    <comment ref="D58" authorId="0" shapeId="0">
      <text>
        <t>Interest: MAX(0, Opening * AnnualRate/12). Source: Meiborg_Debt_Schedule_202512.xlsx - Loan 74</t>
      </text>
    </comment>
    <comment ref="E58" authorId="0" shapeId="0">
      <text>
        <t>Principal: MAX(0, MIN(Opening, Payment-Interest)). Source: Meiborg_Debt_Schedule_202512.xlsx - Loan 74</t>
      </text>
    </comment>
    <comment ref="F58" authorId="0" shapeId="0">
      <text>
        <t>Closing: MAX(0, Opening - Principal). Check: must equal next period Opening.</t>
      </text>
    </comment>
    <comment ref="C59" authorId="0" shapeId="0">
      <text>
        <t>Loan: TriState Capital, AMORTIZING. Source: Meiborg_Debt_Schedule_202512.xlsx - Loan 74</t>
      </text>
    </comment>
    <comment ref="D59" authorId="0" shapeId="0">
      <text>
        <t>Interest: MAX(0, Opening * AnnualRate/12). Source: Meiborg_Debt_Schedule_202512.xlsx - Loan 74</t>
      </text>
    </comment>
    <comment ref="E59" authorId="0" shapeId="0">
      <text>
        <t>Principal: MAX(0, MIN(Opening, Payment-Interest)). Source: Meiborg_Debt_Schedule_202512.xlsx - Loan 74</t>
      </text>
    </comment>
    <comment ref="F59" authorId="0" shapeId="0">
      <text>
        <t>Closing: MAX(0, Opening - Principal). Check: must equal next period Opening.</t>
      </text>
    </comment>
    <comment ref="C60" authorId="0" shapeId="0">
      <text>
        <t>Loan: TriState Capital, AMORTIZING. Source: Meiborg_Debt_Schedule_202512.xlsx - Loan 74</t>
      </text>
    </comment>
    <comment ref="D60" authorId="0" shapeId="0">
      <text>
        <t>Interest: MAX(0, Opening * AnnualRate/12). Source: Meiborg_Debt_Schedule_202512.xlsx - Loan 74</t>
      </text>
    </comment>
    <comment ref="E60" authorId="0" shapeId="0">
      <text>
        <t>Principal: MAX(0, MIN(Opening, Payment-Interest)). Source: Meiborg_Debt_Schedule_202512.xlsx - Loan 74</t>
      </text>
    </comment>
    <comment ref="F60" authorId="0" shapeId="0">
      <text>
        <t>Closing: MAX(0, Opening - Principal). Check: must equal next period Opening.</t>
      </text>
    </comment>
    <comment ref="C61" authorId="0" shapeId="0">
      <text>
        <t>Loan: TriState Capital, AMORTIZING. Source: Meiborg_Debt_Schedule_202512.xlsx - Loan 74</t>
      </text>
    </comment>
    <comment ref="D61" authorId="0" shapeId="0">
      <text>
        <t>Interest: MAX(0, Opening * AnnualRate/12). Source: Meiborg_Debt_Schedule_202512.xlsx - Loan 74</t>
      </text>
    </comment>
    <comment ref="E61" authorId="0" shapeId="0">
      <text>
        <t>Principal: MAX(0, MIN(Opening, Payment-Interest)). Source: Meiborg_Debt_Schedule_202512.xlsx - Loan 74</t>
      </text>
    </comment>
    <comment ref="F61" authorId="0" shapeId="0">
      <text>
        <t>Closing: MAX(0, Opening - Principal). Check: must equal next period Opening.</t>
      </text>
    </comment>
    <comment ref="C62" authorId="0" shapeId="0">
      <text>
        <t>Loan: TriState Capital, AMORTIZING. Source: Meiborg_Debt_Schedule_202512.xlsx - Loan 74</t>
      </text>
    </comment>
    <comment ref="D62" authorId="0" shapeId="0">
      <text>
        <t>Interest: MAX(0, Opening * AnnualRate/12). Source: Meiborg_Debt_Schedule_202512.xlsx - Loan 74</t>
      </text>
    </comment>
    <comment ref="E62" authorId="0" shapeId="0">
      <text>
        <t>Principal: MAX(0, MIN(Opening, Payment-Interest)). Source: Meiborg_Debt_Schedule_202512.xlsx - Loan 74</t>
      </text>
    </comment>
    <comment ref="F62" authorId="0" shapeId="0">
      <text>
        <t>Closing: MAX(0, Opening - Principal). Check: must equal next period Opening.</t>
      </text>
    </comment>
    <comment ref="C63" authorId="0" shapeId="0">
      <text>
        <t>Loan: TriState Capital, AMORTIZING. Source: Meiborg_Debt_Schedule_202512.xlsx - Loan 74</t>
      </text>
    </comment>
    <comment ref="D63" authorId="0" shapeId="0">
      <text>
        <t>Interest: MAX(0, Opening * AnnualRate/12). Source: Meiborg_Debt_Schedule_202512.xlsx - Loan 74</t>
      </text>
    </comment>
    <comment ref="E63" authorId="0" shapeId="0">
      <text>
        <t>Principal: MAX(0, MIN(Opening, Payment-Interest)). Source: Meiborg_Debt_Schedule_202512.xlsx - Loan 74</t>
      </text>
    </comment>
    <comment ref="F63" authorId="0" shapeId="0">
      <text>
        <t>Closing: MAX(0, Opening - Principal). Check: must equal next period Opening.</t>
      </text>
    </comment>
    <comment ref="C64" authorId="0" shapeId="0">
      <text>
        <t>Loan: TriState Capital, AMORTIZING. Source: Meiborg_Debt_Schedule_202512.xlsx - Loan 74</t>
      </text>
    </comment>
    <comment ref="D64" authorId="0" shapeId="0">
      <text>
        <t>Interest: MAX(0, Opening * AnnualRate/12). Source: Meiborg_Debt_Schedule_202512.xlsx - Loan 74</t>
      </text>
    </comment>
    <comment ref="E64" authorId="0" shapeId="0">
      <text>
        <t>Principal: MAX(0, MIN(Opening, Payment-Interest)). Source: Meiborg_Debt_Schedule_202512.xlsx - Loan 74</t>
      </text>
    </comment>
    <comment ref="F64" authorId="0" shapeId="0">
      <text>
        <t>Closing: MAX(0, Opening - Principal). Check: must equal next period Opening.</t>
      </text>
    </comment>
    <comment ref="C65" authorId="0" shapeId="0">
      <text>
        <t>Loan: TriState Capital, AMORTIZING. Source: Meiborg_Debt_Schedule_202512.xlsx - Loan 74</t>
      </text>
    </comment>
    <comment ref="D65" authorId="0" shapeId="0">
      <text>
        <t>Interest: MAX(0, Opening * AnnualRate/12). Source: Meiborg_Debt_Schedule_202512.xlsx - Loan 74</t>
      </text>
    </comment>
    <comment ref="E65" authorId="0" shapeId="0">
      <text>
        <t>Principal: MAX(0, MIN(Opening, Payment-Interest)). Source: Meiborg_Debt_Schedule_202512.xlsx - Loan 74</t>
      </text>
    </comment>
    <comment ref="F65" authorId="0" shapeId="0">
      <text>
        <t>Closing: MAX(0, Opening - Principal). Check: must equal next period Opening.</t>
      </text>
    </comment>
    <comment ref="C66" authorId="0" shapeId="0">
      <text>
        <t>Loan: TriState Capital, AMORTIZING. Source: Meiborg_Debt_Schedule_202512.xlsx - Loan 74</t>
      </text>
    </comment>
    <comment ref="D66" authorId="0" shapeId="0">
      <text>
        <t>Interest: MAX(0, Opening * AnnualRate/12). Source: Meiborg_Debt_Schedule_202512.xlsx - Loan 74</t>
      </text>
    </comment>
    <comment ref="E66" authorId="0" shapeId="0">
      <text>
        <t>Principal: MAX(0, MIN(Opening, Payment-Interest)). Source: Meiborg_Debt_Schedule_202512.xlsx - Loan 74</t>
      </text>
    </comment>
    <comment ref="F66" authorId="0" shapeId="0">
      <text>
        <t>Closing: MAX(0, Opening - Principal). Check: must equal next period Opening.</t>
      </text>
    </comment>
    <comment ref="C67" authorId="0" shapeId="0">
      <text>
        <t>Loan: TriState Capital, AMORTIZING. Source: Meiborg_Debt_Schedule_202512.xlsx - Loan 74</t>
      </text>
    </comment>
    <comment ref="D67" authorId="0" shapeId="0">
      <text>
        <t>Interest: MAX(0, Opening * AnnualRate/12). Source: Meiborg_Debt_Schedule_202512.xlsx - Loan 74</t>
      </text>
    </comment>
    <comment ref="E67" authorId="0" shapeId="0">
      <text>
        <t>Principal: MAX(0, MIN(Opening, Payment-Interest)). Source: Meiborg_Debt_Schedule_202512.xlsx - Loan 74</t>
      </text>
    </comment>
    <comment ref="F67" authorId="0" shapeId="0">
      <text>
        <t>Closing: MAX(0, Opening - Principal). Check: must equal next period Opening.</t>
      </text>
    </comment>
    <comment ref="C68" authorId="0" shapeId="0">
      <text>
        <t>Loan: TriState Capital, AMORTIZING. Source: Meiborg_Debt_Schedule_202512.xlsx - Loan 74</t>
      </text>
    </comment>
    <comment ref="D68" authorId="0" shapeId="0">
      <text>
        <t>Interest: MAX(0, Opening * AnnualRate/12). Source: Meiborg_Debt_Schedule_202512.xlsx - Loan 74</t>
      </text>
    </comment>
    <comment ref="E68" authorId="0" shapeId="0">
      <text>
        <t>Principal: MAX(0, MIN(Opening, Payment-Interest)). Source: Meiborg_Debt_Schedule_202512.xlsx - Loan 74</t>
      </text>
    </comment>
    <comment ref="F68" authorId="0" shapeId="0">
      <text>
        <t>Closing: MAX(0, Opening - Principal). Check: must equal next period Opening.</t>
      </text>
    </comment>
    <comment ref="C69" authorId="0" shapeId="0">
      <text>
        <t>Loan: TriState Capital, AMORTIZING. Source: Meiborg_Debt_Schedule_202512.xlsx - Loan 74</t>
      </text>
    </comment>
    <comment ref="D69" authorId="0" shapeId="0">
      <text>
        <t>Interest: MAX(0, Opening * AnnualRate/12). Source: Meiborg_Debt_Schedule_202512.xlsx - Loan 74</t>
      </text>
    </comment>
    <comment ref="E69" authorId="0" shapeId="0">
      <text>
        <t>Principal: MAX(0, MIN(Opening, Payment-Interest)). Source: Meiborg_Debt_Schedule_202512.xlsx - Loan 74</t>
      </text>
    </comment>
    <comment ref="F69" authorId="0" shapeId="0">
      <text>
        <t>Closing: MAX(0, Opening - Principal). Check: must equal next period Opening.</t>
      </text>
    </comment>
    <comment ref="C70" authorId="0" shapeId="0">
      <text>
        <t>Loan: TriState Capital, AMORTIZING. Source: Meiborg_Debt_Schedule_202512.xlsx - Loan 74</t>
      </text>
    </comment>
    <comment ref="D70" authorId="0" shapeId="0">
      <text>
        <t>Interest: MAX(0, Opening * AnnualRate/12). Source: Meiborg_Debt_Schedule_202512.xlsx - Loan 74</t>
      </text>
    </comment>
    <comment ref="E70" authorId="0" shapeId="0">
      <text>
        <t>Principal: MAX(0, MIN(Opening, Payment-Interest)). Source: Meiborg_Debt_Schedule_202512.xlsx - Loan 74</t>
      </text>
    </comment>
    <comment ref="F70" authorId="0" shapeId="0">
      <text>
        <t>Closing: MAX(0, Opening - Principal). Check: must equal next period Opening.</t>
      </text>
    </comment>
    <comment ref="C71" authorId="0" shapeId="0">
      <text>
        <t>Loan: TriState Capital, AMORTIZING. Source: Meiborg_Debt_Schedule_202512.xlsx - Loan 74</t>
      </text>
    </comment>
    <comment ref="D71" authorId="0" shapeId="0">
      <text>
        <t>Interest: MAX(0, Opening * AnnualRate/12). Source: Meiborg_Debt_Schedule_202512.xlsx - Loan 74</t>
      </text>
    </comment>
    <comment ref="E71" authorId="0" shapeId="0">
      <text>
        <t>Principal: MAX(0, MIN(Opening, Payment-Interest)). Source: Meiborg_Debt_Schedule_202512.xlsx - Loan 74</t>
      </text>
    </comment>
    <comment ref="F71" authorId="0" shapeId="0">
      <text>
        <t>Closing: MAX(0, Opening - Principal). Check: must equal next period Opening.</t>
      </text>
    </comment>
    <comment ref="C72" authorId="0" shapeId="0">
      <text>
        <t>Loan: TriState Capital, AMORTIZING. Source: Meiborg_Debt_Schedule_202512.xlsx - Loan 74</t>
      </text>
    </comment>
    <comment ref="D72" authorId="0" shapeId="0">
      <text>
        <t>Interest: MAX(0, Opening * AnnualRate/12). Source: Meiborg_Debt_Schedule_202512.xlsx - Loan 74</t>
      </text>
    </comment>
    <comment ref="E72" authorId="0" shapeId="0">
      <text>
        <t>Principal: MAX(0, MIN(Opening, Payment-Interest)). Source: Meiborg_Debt_Schedule_202512.xlsx - Loan 74</t>
      </text>
    </comment>
    <comment ref="F72" authorId="0" shapeId="0">
      <text>
        <t>Closing: MAX(0, Opening - Principal). Check: must equal next period Opening.</t>
      </text>
    </comment>
    <comment ref="C73" authorId="0" shapeId="0">
      <text>
        <t>Loan: TriState Capital, AMORTIZING. Source: Meiborg_Debt_Schedule_202512.xlsx - Loan 74</t>
      </text>
    </comment>
    <comment ref="D73" authorId="0" shapeId="0">
      <text>
        <t>Interest: MAX(0, Opening * AnnualRate/12). Source: Meiborg_Debt_Schedule_202512.xlsx - Loan 74</t>
      </text>
    </comment>
    <comment ref="E73" authorId="0" shapeId="0">
      <text>
        <t>Principal: MAX(0, MIN(Opening, Payment-Interest)). Source: Meiborg_Debt_Schedule_202512.xlsx - Loan 74</t>
      </text>
    </comment>
    <comment ref="F73" authorId="0" shapeId="0">
      <text>
        <t>Closing: MAX(0, Opening - Principal). Check: must equal next period Opening.</t>
      </text>
    </comment>
    <comment ref="C74" authorId="0" shapeId="0">
      <text>
        <t>Loan: TriState Capital, AMORTIZING. Source: Meiborg_Debt_Schedule_202512.xlsx - Loan 74</t>
      </text>
    </comment>
    <comment ref="D74" authorId="0" shapeId="0">
      <text>
        <t>Interest: MAX(0, Opening * AnnualRate/12). Source: Meiborg_Debt_Schedule_202512.xlsx - Loan 74</t>
      </text>
    </comment>
    <comment ref="E74" authorId="0" shapeId="0">
      <text>
        <t>Principal: MAX(0, MIN(Opening, Payment-Interest)). Source: Meiborg_Debt_Schedule_202512.xlsx - Loan 74</t>
      </text>
    </comment>
    <comment ref="F74" authorId="0" shapeId="0">
      <text>
        <t>Closing: MAX(0, Opening - Principal). Check: must equal next period Opening.</t>
      </text>
    </comment>
    <comment ref="C79" authorId="0" shapeId="0">
      <text>
        <t>Sum of rows 23-34: Monthly interest payments</t>
      </text>
    </comment>
    <comment ref="D79" authorId="0" shapeId="0">
      <text>
        <t>Sum of rows 23-34: Monthly principal payments</t>
      </text>
    </comment>
    <comment ref="E79" authorId="0" shapeId="0">
      <text>
        <t>Links to: row 34 - Closing Balance for Dec 2026</t>
      </text>
    </comment>
    <comment ref="C80" authorId="0" shapeId="0">
      <text>
        <t>Sum of rows 35-46: Monthly interest payments</t>
      </text>
    </comment>
    <comment ref="D80" authorId="0" shapeId="0">
      <text>
        <t>Sum of rows 35-46: Monthly principal payments</t>
      </text>
    </comment>
    <comment ref="E80" authorId="0" shapeId="0">
      <text>
        <t>Links to: row 46 - Closing Balance for Dec 2027</t>
      </text>
    </comment>
    <comment ref="C81" authorId="0" shapeId="0">
      <text>
        <t>Sum of rows 47-58: Monthly interest payments</t>
      </text>
    </comment>
    <comment ref="D81" authorId="0" shapeId="0">
      <text>
        <t>Sum of rows 47-58: Monthly principal payments</t>
      </text>
    </comment>
    <comment ref="E81" authorId="0" shapeId="0">
      <text>
        <t>Links to: row 58 - Closing Balance for Dec 2028</t>
      </text>
    </comment>
    <comment ref="C82" authorId="0" shapeId="0">
      <text>
        <t>Sum of rows 59-70: Monthly interest payments</t>
      </text>
    </comment>
    <comment ref="D82" authorId="0" shapeId="0">
      <text>
        <t>Sum of rows 59-70: Monthly principal payments</t>
      </text>
    </comment>
    <comment ref="E82" authorId="0" shapeId="0">
      <text>
        <t>Links to: row 70 - Closing Balance for Dec 2029</t>
      </text>
    </comment>
    <comment ref="C83" authorId="0" shapeId="0">
      <text>
        <t>Sum of rows 71-74: Monthly interest payments</t>
      </text>
    </comment>
    <comment ref="D83" authorId="0" shapeId="0">
      <text>
        <t>Sum of rows 71-74: Monthly principal payments</t>
      </text>
    </comment>
    <comment ref="E83" authorId="0" shapeId="0">
      <text>
        <t>Links to: row 74 - Closing Balance for Dec 2030</t>
      </text>
    </comment>
    <comment ref="B87" authorId="0" shapeId="0">
      <text>
        <t>Links to: row 8 - Current Balance as of 12/31/2025. For Debt Schedule linking.</t>
      </text>
    </comment>
  </commentList>
</comments>
</file>

<file path=xl/comments/comment49.xml><?xml version="1.0" encoding="utf-8"?>
<comments xmlns="http://schemas.openxmlformats.org/spreadsheetml/2006/main">
  <authors>
    <author>Model Builder</author>
  </authors>
  <commentList>
    <comment ref="B2" authorId="0" shapeId="0">
      <text>
        <t>Source: Meiborg_Debt_Schedule_202512.xlsx - Loan 53
Extracted: 2026-05-14</t>
      </text>
    </comment>
    <comment ref="B6" authorId="0" shapeId="0">
      <text>
        <t>Source: Meiborg_Debt_Schedule_202512.xlsx - Loan 53
Original loan amount at origination.</t>
      </text>
    </comment>
    <comment ref="B7" authorId="0" shapeId="0">
      <text>
        <t>Source: Meiborg_Debt_Schedule_202512.xlsx - Loan 53
Balance as of 12/31/2025.</t>
      </text>
    </comment>
    <comment ref="B8" authorId="0" shapeId="0">
      <text>
        <t>Source: Meiborg_Debt_Schedule_202512.xlsx - Loan 53
Annual interest rate.</t>
      </text>
    </comment>
    <comment ref="B9" authorId="0" shapeId="0">
      <text>
        <t>Source: Meiborg_Debt_Schedule_202512.xlsx - Loan 53
Fixed monthly payment amount.</t>
      </text>
    </comment>
    <comment ref="B13" authorId="0" shapeId="0">
      <text>
        <t>Loan: CCG - Commercial Credit Group, AMORTIZING. Source: Meiborg_Debt_Schedule_202512.xlsx - Loan 53</t>
      </text>
    </comment>
    <comment ref="C24" authorId="0" shapeId="0">
      <text>
        <t>Loan: CCG - Commercial Credit Group, AMORTIZING. Source: Meiborg_Debt_Schedule_202512.xlsx - Loan 53
Opening balance from current balance as of 12/31/2025.</t>
      </text>
    </comment>
    <comment ref="D24" authorId="0" shapeId="0">
      <text>
        <t>Loan: CCG - Commercial Credit Group, AMORTIZING. Interest = Opening * Annual Rate / 12.</t>
      </text>
    </comment>
    <comment ref="E24" authorId="0" shapeId="0">
      <text>
        <t>Loan: CCG - Commercial Credit Group, AMORTIZING. Principal = MIN(Opening, Payment - Interest).</t>
      </text>
    </comment>
    <comment ref="F24" authorId="0" shapeId="0">
      <text>
        <t>Loan: CCG - Commercial Credit Group, AMORTIZING. Closing = Opening - Principal.</t>
      </text>
    </comment>
    <comment ref="C25" authorId="0" shapeId="0">
      <text>
        <t>Loan: CCG - Commercial Credit Group, AMORTIZING. Prior month closing balance.</t>
      </text>
    </comment>
    <comment ref="D25" authorId="0" shapeId="0">
      <text>
        <t>Loan: CCG - Commercial Credit Group, AMORTIZING. Interest = Opening * Annual Rate / 12.</t>
      </text>
    </comment>
    <comment ref="E25" authorId="0" shapeId="0">
      <text>
        <t>Loan: CCG - Commercial Credit Group, AMORTIZING. Principal = MIN(Opening, Payment - Interest).</t>
      </text>
    </comment>
    <comment ref="F25" authorId="0" shapeId="0">
      <text>
        <t>Loan: CCG - Commercial Credit Group, AMORTIZING. Closing = Opening - Principal.</t>
      </text>
    </comment>
    <comment ref="C26" authorId="0" shapeId="0">
      <text>
        <t>Loan: CCG - Commercial Credit Group, AMORTIZING. Prior month closing balance.</t>
      </text>
    </comment>
    <comment ref="D26" authorId="0" shapeId="0">
      <text>
        <t>Loan: CCG - Commercial Credit Group, AMORTIZING. Interest = Opening * Annual Rate / 12.</t>
      </text>
    </comment>
    <comment ref="E26" authorId="0" shapeId="0">
      <text>
        <t>Loan: CCG - Commercial Credit Group, AMORTIZING. Principal = MIN(Opening, Payment - Interest).</t>
      </text>
    </comment>
    <comment ref="F26" authorId="0" shapeId="0">
      <text>
        <t>Loan: CCG - Commercial Credit Group, AMORTIZING. Closing = Opening - Principal.</t>
      </text>
    </comment>
    <comment ref="C27" authorId="0" shapeId="0">
      <text>
        <t>Loan: CCG - Commercial Credit Group, AMORTIZING. Prior month closing balance.</t>
      </text>
    </comment>
    <comment ref="D27" authorId="0" shapeId="0">
      <text>
        <t>Loan: CCG - Commercial Credit Group, AMORTIZING. Interest = Opening * Annual Rate / 12.</t>
      </text>
    </comment>
    <comment ref="E27" authorId="0" shapeId="0">
      <text>
        <t>Loan: CCG - Commercial Credit Group, AMORTIZING. Principal = MIN(Opening, Payment - Interest).</t>
      </text>
    </comment>
    <comment ref="F27" authorId="0" shapeId="0">
      <text>
        <t>Loan: CCG - Commercial Credit Group, AMORTIZING. Closing = Opening - Principal.</t>
      </text>
    </comment>
    <comment ref="C28" authorId="0" shapeId="0">
      <text>
        <t>Loan: CCG - Commercial Credit Group, AMORTIZING. Prior month closing balance.</t>
      </text>
    </comment>
    <comment ref="D28" authorId="0" shapeId="0">
      <text>
        <t>Loan: CCG - Commercial Credit Group, AMORTIZING. Interest = Opening * Annual Rate / 12.</t>
      </text>
    </comment>
    <comment ref="E28" authorId="0" shapeId="0">
      <text>
        <t>Loan: CCG - Commercial Credit Group, AMORTIZING. Principal = MIN(Opening, Payment - Interest).</t>
      </text>
    </comment>
    <comment ref="F28" authorId="0" shapeId="0">
      <text>
        <t>Loan: CCG - Commercial Credit Group, AMORTIZING. Closing = Opening - Principal.</t>
      </text>
    </comment>
    <comment ref="C29" authorId="0" shapeId="0">
      <text>
        <t>Loan: CCG - Commercial Credit Group, AMORTIZING. Prior month closing balance.</t>
      </text>
    </comment>
    <comment ref="D29" authorId="0" shapeId="0">
      <text>
        <t>Loan: CCG - Commercial Credit Group, AMORTIZING. Interest = Opening * Annual Rate / 12.</t>
      </text>
    </comment>
    <comment ref="E29" authorId="0" shapeId="0">
      <text>
        <t>Loan: CCG - Commercial Credit Group, AMORTIZING. Principal = MIN(Opening, Payment - Interest).</t>
      </text>
    </comment>
    <comment ref="F29" authorId="0" shapeId="0">
      <text>
        <t>Loan: CCG - Commercial Credit Group, AMORTIZING. Closing = Opening - Principal.</t>
      </text>
    </comment>
    <comment ref="C30" authorId="0" shapeId="0">
      <text>
        <t>Loan: CCG - Commercial Credit Group, AMORTIZING. Prior month closing balance.</t>
      </text>
    </comment>
    <comment ref="D30" authorId="0" shapeId="0">
      <text>
        <t>Loan: CCG - Commercial Credit Group, AMORTIZING. Interest = Opening * Annual Rate / 12.</t>
      </text>
    </comment>
    <comment ref="E30" authorId="0" shapeId="0">
      <text>
        <t>Loan: CCG - Commercial Credit Group, AMORTIZING. Principal = MIN(Opening, Payment - Interest).</t>
      </text>
    </comment>
    <comment ref="F30" authorId="0" shapeId="0">
      <text>
        <t>Loan: CCG - Commercial Credit Group, AMORTIZING. Closing = Opening - Principal.</t>
      </text>
    </comment>
    <comment ref="C31" authorId="0" shapeId="0">
      <text>
        <t>Loan: CCG - Commercial Credit Group, AMORTIZING. Prior month closing balance.</t>
      </text>
    </comment>
    <comment ref="D31" authorId="0" shapeId="0">
      <text>
        <t>Loan: CCG - Commercial Credit Group, AMORTIZING. Interest = Opening * Annual Rate / 12.</t>
      </text>
    </comment>
    <comment ref="E31" authorId="0" shapeId="0">
      <text>
        <t>Loan: CCG - Commercial Credit Group, AMORTIZING. Principal = MIN(Opening, Payment - Interest).</t>
      </text>
    </comment>
    <comment ref="F31" authorId="0" shapeId="0">
      <text>
        <t>Loan: CCG - Commercial Credit Group, AMORTIZING. Closing = Opening - Principal.</t>
      </text>
    </comment>
    <comment ref="C32" authorId="0" shapeId="0">
      <text>
        <t>Loan: CCG - Commercial Credit Group, AMORTIZING. Prior month closing balance.</t>
      </text>
    </comment>
    <comment ref="D32" authorId="0" shapeId="0">
      <text>
        <t>Loan: CCG - Commercial Credit Group, AMORTIZING. Interest = Opening * Annual Rate / 12.</t>
      </text>
    </comment>
    <comment ref="E32" authorId="0" shapeId="0">
      <text>
        <t>Loan: CCG - Commercial Credit Group, AMORTIZING. Principal = MIN(Opening, Payment - Interest).</t>
      </text>
    </comment>
    <comment ref="F32" authorId="0" shapeId="0">
      <text>
        <t>Loan: CCG - Commercial Credit Group, AMORTIZING. Closing = Opening - Principal.</t>
      </text>
    </comment>
    <comment ref="C33" authorId="0" shapeId="0">
      <text>
        <t>Loan: CCG - Commercial Credit Group, AMORTIZING. Prior month closing balance.</t>
      </text>
    </comment>
    <comment ref="D33" authorId="0" shapeId="0">
      <text>
        <t>Loan: CCG - Commercial Credit Group, AMORTIZING. Interest = Opening * Annual Rate / 12.</t>
      </text>
    </comment>
    <comment ref="E33" authorId="0" shapeId="0">
      <text>
        <t>Loan: CCG - Commercial Credit Group, AMORTIZING. Principal = MIN(Opening, Payment - Interest).</t>
      </text>
    </comment>
    <comment ref="F33" authorId="0" shapeId="0">
      <text>
        <t>Loan: CCG - Commercial Credit Group, AMORTIZING. Closing = Opening - Principal.</t>
      </text>
    </comment>
    <comment ref="C34" authorId="0" shapeId="0">
      <text>
        <t>Loan: CCG - Commercial Credit Group, AMORTIZING. Prior month closing balance.</t>
      </text>
    </comment>
    <comment ref="D34" authorId="0" shapeId="0">
      <text>
        <t>Loan: CCG - Commercial Credit Group, AMORTIZING. Interest = Opening * Annual Rate / 12.</t>
      </text>
    </comment>
    <comment ref="E34" authorId="0" shapeId="0">
      <text>
        <t>Loan: CCG - Commercial Credit Group, AMORTIZING. Principal = MIN(Opening, Payment - Interest).</t>
      </text>
    </comment>
    <comment ref="F34" authorId="0" shapeId="0">
      <text>
        <t>Loan: CCG - Commercial Credit Group, AMORTIZING. Closing = Opening - Principal.</t>
      </text>
    </comment>
    <comment ref="C35" authorId="0" shapeId="0">
      <text>
        <t>Loan: CCG - Commercial Credit Group, AMORTIZING. Prior month closing balance.</t>
      </text>
    </comment>
    <comment ref="D35" authorId="0" shapeId="0">
      <text>
        <t>Loan: CCG - Commercial Credit Group, AMORTIZING. Interest = Opening * Annual Rate / 12.</t>
      </text>
    </comment>
    <comment ref="E35" authorId="0" shapeId="0">
      <text>
        <t>Loan: CCG - Commercial Credit Group, AMORTIZING. Principal = MIN(Opening, Payment - Interest).</t>
      </text>
    </comment>
    <comment ref="F35" authorId="0" shapeId="0">
      <text>
        <t>Loan: CCG - Commercial Credit Group, AMORTIZING. Closing = Opening - Principal.</t>
      </text>
    </comment>
    <comment ref="C36" authorId="0" shapeId="0">
      <text>
        <t>Loan: CCG - Commercial Credit Group, AMORTIZING. Prior month closing balance.</t>
      </text>
    </comment>
    <comment ref="D36" authorId="0" shapeId="0">
      <text>
        <t>Loan: CCG - Commercial Credit Group, AMORTIZING. Interest = Opening * Annual Rate / 12.</t>
      </text>
    </comment>
    <comment ref="E36" authorId="0" shapeId="0">
      <text>
        <t>Loan: CCG - Commercial Credit Group, AMORTIZING. Principal = MIN(Opening, Payment - Interest).</t>
      </text>
    </comment>
    <comment ref="F36" authorId="0" shapeId="0">
      <text>
        <t>Loan: CCG - Commercial Credit Group, AMORTIZING. Closing = Opening - Principal.</t>
      </text>
    </comment>
    <comment ref="C37" authorId="0" shapeId="0">
      <text>
        <t>Loan: CCG - Commercial Credit Group, AMORTIZING. Prior month closing balance.</t>
      </text>
    </comment>
    <comment ref="D37" authorId="0" shapeId="0">
      <text>
        <t>Loan: CCG - Commercial Credit Group, AMORTIZING. Interest = Opening * Annual Rate / 12.</t>
      </text>
    </comment>
    <comment ref="E37" authorId="0" shapeId="0">
      <text>
        <t>Loan: CCG - Commercial Credit Group, AMORTIZING. Principal = MIN(Opening, Payment - Interest).</t>
      </text>
    </comment>
    <comment ref="F37" authorId="0" shapeId="0">
      <text>
        <t>Loan: CCG - Commercial Credit Group, AMORTIZING. Closing = Opening - Principal.</t>
      </text>
    </comment>
    <comment ref="C38" authorId="0" shapeId="0">
      <text>
        <t>Loan: CCG - Commercial Credit Group, AMORTIZING. Prior month closing balance.</t>
      </text>
    </comment>
    <comment ref="D38" authorId="0" shapeId="0">
      <text>
        <t>Loan: CCG - Commercial Credit Group, AMORTIZING. Interest = Opening * Annual Rate / 12.</t>
      </text>
    </comment>
    <comment ref="E38" authorId="0" shapeId="0">
      <text>
        <t>Loan: CCG - Commercial Credit Group, AMORTIZING. Principal = MIN(Opening, Payment - Interest).</t>
      </text>
    </comment>
    <comment ref="F38" authorId="0" shapeId="0">
      <text>
        <t>Loan: CCG - Commercial Credit Group, AMORTIZING. Closing = Opening - Principal.</t>
      </text>
    </comment>
    <comment ref="C39" authorId="0" shapeId="0">
      <text>
        <t>Loan: CCG - Commercial Credit Group, AMORTIZING. Prior month closing balance.</t>
      </text>
    </comment>
    <comment ref="D39" authorId="0" shapeId="0">
      <text>
        <t>Loan: CCG - Commercial Credit Group, AMORTIZING. Interest = Opening * Annual Rate / 12.</t>
      </text>
    </comment>
    <comment ref="E39" authorId="0" shapeId="0">
      <text>
        <t>Loan: CCG - Commercial Credit Group, AMORTIZING. Principal = MIN(Opening, Payment - Interest).</t>
      </text>
    </comment>
    <comment ref="F39" authorId="0" shapeId="0">
      <text>
        <t>Loan: CCG - Commercial Credit Group, AMORTIZING. Closing = Opening - Principal.</t>
      </text>
    </comment>
    <comment ref="C40" authorId="0" shapeId="0">
      <text>
        <t>Loan: CCG - Commercial Credit Group, AMORTIZING. Prior month closing balance.</t>
      </text>
    </comment>
    <comment ref="D40" authorId="0" shapeId="0">
      <text>
        <t>Loan: CCG - Commercial Credit Group, AMORTIZING. Interest = Opening * Annual Rate / 12.</t>
      </text>
    </comment>
    <comment ref="E40" authorId="0" shapeId="0">
      <text>
        <t>Loan: CCG - Commercial Credit Group, AMORTIZING. Principal = MIN(Opening, Payment - Interest).</t>
      </text>
    </comment>
    <comment ref="F40" authorId="0" shapeId="0">
      <text>
        <t>Loan: CCG - Commercial Credit Group, AMORTIZING. Closing = Opening - Principal.</t>
      </text>
    </comment>
    <comment ref="C41" authorId="0" shapeId="0">
      <text>
        <t>Loan: CCG - Commercial Credit Group, AMORTIZING. Prior month closing balance.</t>
      </text>
    </comment>
    <comment ref="D41" authorId="0" shapeId="0">
      <text>
        <t>Loan: CCG - Commercial Credit Group, AMORTIZING. Interest = Opening * Annual Rate / 12.</t>
      </text>
    </comment>
    <comment ref="E41" authorId="0" shapeId="0">
      <text>
        <t>Loan: CCG - Commercial Credit Group, AMORTIZING. Principal = MIN(Opening, Payment - Interest).</t>
      </text>
    </comment>
    <comment ref="F41" authorId="0" shapeId="0">
      <text>
        <t>Loan: CCG - Commercial Credit Group, AMORTIZING. Closing = Opening - Principal.</t>
      </text>
    </comment>
    <comment ref="C42" authorId="0" shapeId="0">
      <text>
        <t>Loan: CCG - Commercial Credit Group, AMORTIZING. Prior month closing balance.</t>
      </text>
    </comment>
    <comment ref="D42" authorId="0" shapeId="0">
      <text>
        <t>Loan: CCG - Commercial Credit Group, AMORTIZING. Interest = Opening * Annual Rate / 12.</t>
      </text>
    </comment>
    <comment ref="E42" authorId="0" shapeId="0">
      <text>
        <t>Loan: CCG - Commercial Credit Group, AMORTIZING. Principal = MIN(Opening, Payment - Interest).</t>
      </text>
    </comment>
    <comment ref="F42" authorId="0" shapeId="0">
      <text>
        <t>Loan: CCG - Commercial Credit Group, AMORTIZING. Closing = Opening - Principal.</t>
      </text>
    </comment>
    <comment ref="C43" authorId="0" shapeId="0">
      <text>
        <t>Loan: CCG - Commercial Credit Group, AMORTIZING. Prior month closing balance.</t>
      </text>
    </comment>
    <comment ref="D43" authorId="0" shapeId="0">
      <text>
        <t>Loan: CCG - Commercial Credit Group, AMORTIZING. Interest = Opening * Annual Rate / 12.</t>
      </text>
    </comment>
    <comment ref="E43" authorId="0" shapeId="0">
      <text>
        <t>Loan: CCG - Commercial Credit Group, AMORTIZING. Principal = MIN(Opening, Payment - Interest).</t>
      </text>
    </comment>
    <comment ref="F43" authorId="0" shapeId="0">
      <text>
        <t>Loan: CCG - Commercial Credit Group, AMORTIZING. Closing = Opening - Principal.</t>
      </text>
    </comment>
    <comment ref="C44" authorId="0" shapeId="0">
      <text>
        <t>Loan: CCG - Commercial Credit Group, AMORTIZING. Prior month closing balance.</t>
      </text>
    </comment>
    <comment ref="D44" authorId="0" shapeId="0">
      <text>
        <t>Loan: CCG - Commercial Credit Group, AMORTIZING. Interest = Opening * Annual Rate / 12.</t>
      </text>
    </comment>
    <comment ref="E44" authorId="0" shapeId="0">
      <text>
        <t>Loan: CCG - Commercial Credit Group, AMORTIZING. Principal = MIN(Opening, Payment - Interest).</t>
      </text>
    </comment>
    <comment ref="F44" authorId="0" shapeId="0">
      <text>
        <t>Loan: CCG - Commercial Credit Group, AMORTIZING. Closing = Opening - Principal.</t>
      </text>
    </comment>
    <comment ref="C45" authorId="0" shapeId="0">
      <text>
        <t>Loan: CCG - Commercial Credit Group, AMORTIZING. Prior month closing balance.</t>
      </text>
    </comment>
    <comment ref="D45" authorId="0" shapeId="0">
      <text>
        <t>Loan: CCG - Commercial Credit Group, AMORTIZING. Interest = Opening * Annual Rate / 12.</t>
      </text>
    </comment>
    <comment ref="E45" authorId="0" shapeId="0">
      <text>
        <t>Loan: CCG - Commercial Credit Group, AMORTIZING. Principal = MIN(Opening, Payment - Interest).</t>
      </text>
    </comment>
    <comment ref="F45" authorId="0" shapeId="0">
      <text>
        <t>Loan: CCG - Commercial Credit Group, AMORTIZING. Closing = Opening - Principal.</t>
      </text>
    </comment>
    <comment ref="C46" authorId="0" shapeId="0">
      <text>
        <t>Loan: CCG - Commercial Credit Group, AMORTIZING. Prior month closing balance.</t>
      </text>
    </comment>
    <comment ref="D46" authorId="0" shapeId="0">
      <text>
        <t>Loan: CCG - Commercial Credit Group, AMORTIZING. Interest = Opening * Annual Rate / 12.</t>
      </text>
    </comment>
    <comment ref="E46" authorId="0" shapeId="0">
      <text>
        <t>Loan: CCG - Commercial Credit Group, AMORTIZING. Principal = MIN(Opening, Payment - Interest).</t>
      </text>
    </comment>
    <comment ref="F46" authorId="0" shapeId="0">
      <text>
        <t>Loan: CCG - Commercial Credit Group, AMORTIZING. Closing = Opening - Principal.</t>
      </text>
    </comment>
    <comment ref="C47" authorId="0" shapeId="0">
      <text>
        <t>Loan: CCG - Commercial Credit Group, AMORTIZING. Prior month closing balance.</t>
      </text>
    </comment>
    <comment ref="D47" authorId="0" shapeId="0">
      <text>
        <t>Loan: CCG - Commercial Credit Group, AMORTIZING. Interest = Opening * Annual Rate / 12.</t>
      </text>
    </comment>
    <comment ref="E47" authorId="0" shapeId="0">
      <text>
        <t>Loan: CCG - Commercial Credit Group, AMORTIZING. Principal = MIN(Opening, Payment - Interest).</t>
      </text>
    </comment>
    <comment ref="F47" authorId="0" shapeId="0">
      <text>
        <t>Loan: CCG - Commercial Credit Group, AMORTIZING. Closing = Opening - Principal.</t>
      </text>
    </comment>
    <comment ref="C48" authorId="0" shapeId="0">
      <text>
        <t>Loan: CCG - Commercial Credit Group, AMORTIZING. Prior month closing balance.</t>
      </text>
    </comment>
    <comment ref="D48" authorId="0" shapeId="0">
      <text>
        <t>Loan: CCG - Commercial Credit Group, AMORTIZING. Interest = Opening * Annual Rate / 12.</t>
      </text>
    </comment>
    <comment ref="E48" authorId="0" shapeId="0">
      <text>
        <t>Loan: CCG - Commercial Credit Group, AMORTIZING. Principal = MIN(Opening, Payment - Interest).</t>
      </text>
    </comment>
    <comment ref="F48" authorId="0" shapeId="0">
      <text>
        <t>Loan: CCG - Commercial Credit Group, AMORTIZING. Closing = Opening - Principal.</t>
      </text>
    </comment>
    <comment ref="C49" authorId="0" shapeId="0">
      <text>
        <t>Loan: CCG - Commercial Credit Group, AMORTIZING. Prior month closing balance.</t>
      </text>
    </comment>
    <comment ref="D49" authorId="0" shapeId="0">
      <text>
        <t>Loan: CCG - Commercial Credit Group, AMORTIZING. Interest = Opening * Annual Rate / 12.</t>
      </text>
    </comment>
    <comment ref="E49" authorId="0" shapeId="0">
      <text>
        <t>Loan: CCG - Commercial Credit Group, AMORTIZING. Principal = MIN(Opening, Payment - Interest).</t>
      </text>
    </comment>
    <comment ref="F49" authorId="0" shapeId="0">
      <text>
        <t>Loan: CCG - Commercial Credit Group, AMORTIZING. Closing = Opening - Principal.</t>
      </text>
    </comment>
    <comment ref="C50" authorId="0" shapeId="0">
      <text>
        <t>Loan: CCG - Commercial Credit Group, AMORTIZING. Prior month closing balance.</t>
      </text>
    </comment>
    <comment ref="D50" authorId="0" shapeId="0">
      <text>
        <t>Loan: CCG - Commercial Credit Group, AMORTIZING. Interest = Opening * Annual Rate / 12.</t>
      </text>
    </comment>
    <comment ref="E50" authorId="0" shapeId="0">
      <text>
        <t>Loan: CCG - Commercial Credit Group, AMORTIZING. Principal = MIN(Opening, Payment - Interest).</t>
      </text>
    </comment>
    <comment ref="F50" authorId="0" shapeId="0">
      <text>
        <t>Loan: CCG - Commercial Credit Group, AMORTIZING. Closing = Opening - Principal.</t>
      </text>
    </comment>
    <comment ref="C51" authorId="0" shapeId="0">
      <text>
        <t>Loan: CCG - Commercial Credit Group, AMORTIZING. Prior month closing balance.</t>
      </text>
    </comment>
    <comment ref="D51" authorId="0" shapeId="0">
      <text>
        <t>Loan: CCG - Commercial Credit Group, AMORTIZING. Interest = Opening * Annual Rate / 12.</t>
      </text>
    </comment>
    <comment ref="E51" authorId="0" shapeId="0">
      <text>
        <t>Loan: CCG - Commercial Credit Group, AMORTIZING. Principal = MIN(Opening, Payment - Interest).</t>
      </text>
    </comment>
    <comment ref="F51" authorId="0" shapeId="0">
      <text>
        <t>Loan: CCG - Commercial Credit Group, AMORTIZING. Closing = Opening - Principal.</t>
      </text>
    </comment>
    <comment ref="C52" authorId="0" shapeId="0">
      <text>
        <t>Loan: CCG - Commercial Credit Group, AMORTIZING. Prior month closing balance.</t>
      </text>
    </comment>
    <comment ref="D52" authorId="0" shapeId="0">
      <text>
        <t>Loan: CCG - Commercial Credit Group, AMORTIZING. Interest = Opening * Annual Rate / 12.</t>
      </text>
    </comment>
    <comment ref="E52" authorId="0" shapeId="0">
      <text>
        <t>Loan: CCG - Commercial Credit Group, AMORTIZING. Principal = MIN(Opening, Payment - Interest).</t>
      </text>
    </comment>
    <comment ref="F52" authorId="0" shapeId="0">
      <text>
        <t>Loan: CCG - Commercial Credit Group, AMORTIZING. Closing = Opening - Principal.</t>
      </text>
    </comment>
    <comment ref="C53" authorId="0" shapeId="0">
      <text>
        <t>Loan: CCG - Commercial Credit Group, AMORTIZING. Prior month closing balance.</t>
      </text>
    </comment>
    <comment ref="D53" authorId="0" shapeId="0">
      <text>
        <t>Loan: CCG - Commercial Credit Group, AMORTIZING. Interest = Opening * Annual Rate / 12.</t>
      </text>
    </comment>
    <comment ref="E53" authorId="0" shapeId="0">
      <text>
        <t>Loan: CCG - Commercial Credit Group, AMORTIZING. Principal = MIN(Opening, Payment - Interest).</t>
      </text>
    </comment>
    <comment ref="F53" authorId="0" shapeId="0">
      <text>
        <t>Loan: CCG - Commercial Credit Group, AMORTIZING. Closing = Opening - Principal.</t>
      </text>
    </comment>
    <comment ref="C54" authorId="0" shapeId="0">
      <text>
        <t>Loan: CCG - Commercial Credit Group, AMORTIZING. Prior month closing balance.</t>
      </text>
    </comment>
    <comment ref="D54" authorId="0" shapeId="0">
      <text>
        <t>Loan: CCG - Commercial Credit Group, AMORTIZING. Interest = Opening * Annual Rate / 12.</t>
      </text>
    </comment>
    <comment ref="E54" authorId="0" shapeId="0">
      <text>
        <t>Loan: CCG - Commercial Credit Group, AMORTIZING. Principal = MIN(Opening, Payment - Interest).</t>
      </text>
    </comment>
    <comment ref="F54" authorId="0" shapeId="0">
      <text>
        <t>Loan: CCG - Commercial Credit Group, AMORTIZING. Closing = Opening - Principal.</t>
      </text>
    </comment>
    <comment ref="C55" authorId="0" shapeId="0">
      <text>
        <t>Loan: CCG - Commercial Credit Group, AMORTIZING. Prior month closing balance.</t>
      </text>
    </comment>
    <comment ref="D55" authorId="0" shapeId="0">
      <text>
        <t>Loan: CCG - Commercial Credit Group, AMORTIZING. Interest = Opening * Annual Rate / 12.</t>
      </text>
    </comment>
    <comment ref="E55" authorId="0" shapeId="0">
      <text>
        <t>Loan: CCG - Commercial Credit Group, AMORTIZING. Principal = MIN(Opening, Payment - Interest).</t>
      </text>
    </comment>
    <comment ref="F55" authorId="0" shapeId="0">
      <text>
        <t>Loan: CCG - Commercial Credit Group, AMORTIZING. Closing = Opening - Principal.</t>
      </text>
    </comment>
    <comment ref="C56" authorId="0" shapeId="0">
      <text>
        <t>Loan: CCG - Commercial Credit Group, AMORTIZING. Prior month closing balance.</t>
      </text>
    </comment>
    <comment ref="D56" authorId="0" shapeId="0">
      <text>
        <t>Loan: CCG - Commercial Credit Group, AMORTIZING. Interest = Opening * Annual Rate / 12.</t>
      </text>
    </comment>
    <comment ref="E56" authorId="0" shapeId="0">
      <text>
        <t>Loan: CCG - Commercial Credit Group, AMORTIZING. Principal = MIN(Opening, Payment - Interest).</t>
      </text>
    </comment>
    <comment ref="F56" authorId="0" shapeId="0">
      <text>
        <t>Loan: CCG - Commercial Credit Group, AMORTIZING. Closing = Opening - Principal.</t>
      </text>
    </comment>
    <comment ref="C57" authorId="0" shapeId="0">
      <text>
        <t>Loan: CCG - Commercial Credit Group, AMORTIZING. Prior month closing balance.</t>
      </text>
    </comment>
    <comment ref="D57" authorId="0" shapeId="0">
      <text>
        <t>Loan: CCG - Commercial Credit Group, AMORTIZING. Interest = Opening * Annual Rate / 12.</t>
      </text>
    </comment>
    <comment ref="E57" authorId="0" shapeId="0">
      <text>
        <t>Loan: CCG - Commercial Credit Group, AMORTIZING. Principal = MIN(Opening, Payment - Interest).</t>
      </text>
    </comment>
    <comment ref="F57" authorId="0" shapeId="0">
      <text>
        <t>Loan: CCG - Commercial Credit Group, AMORTIZING. Closing = Opening - Principal.</t>
      </text>
    </comment>
    <comment ref="C58" authorId="0" shapeId="0">
      <text>
        <t>Loan: CCG - Commercial Credit Group, AMORTIZING. Prior month closing balance.</t>
      </text>
    </comment>
    <comment ref="D58" authorId="0" shapeId="0">
      <text>
        <t>Loan: CCG - Commercial Credit Group, AMORTIZING. Interest = Opening * Annual Rate / 12.</t>
      </text>
    </comment>
    <comment ref="E58" authorId="0" shapeId="0">
      <text>
        <t>Loan: CCG - Commercial Credit Group, AMORTIZING. Principal = MIN(Opening, Payment - Interest).</t>
      </text>
    </comment>
    <comment ref="F58" authorId="0" shapeId="0">
      <text>
        <t>Loan: CCG - Commercial Credit Group, AMORTIZING. Closing = Opening - Principal.</t>
      </text>
    </comment>
    <comment ref="C59" authorId="0" shapeId="0">
      <text>
        <t>Loan: CCG - Commercial Credit Group, AMORTIZING. Prior month closing balance.</t>
      </text>
    </comment>
    <comment ref="D59" authorId="0" shapeId="0">
      <text>
        <t>Loan: CCG - Commercial Credit Group, AMORTIZING. Interest = Opening * Annual Rate / 12.</t>
      </text>
    </comment>
    <comment ref="E59" authorId="0" shapeId="0">
      <text>
        <t>Loan: CCG - Commercial Credit Group, AMORTIZING. Principal = MIN(Opening, Payment - Interest).</t>
      </text>
    </comment>
    <comment ref="F59" authorId="0" shapeId="0">
      <text>
        <t>Loan: CCG - Commercial Credit Group, AMORTIZING. Closing = Opening - Principal.</t>
      </text>
    </comment>
    <comment ref="C60" authorId="0" shapeId="0">
      <text>
        <t>Loan: CCG - Commercial Credit Group, AMORTIZING. Prior month closing balance.</t>
      </text>
    </comment>
    <comment ref="D60" authorId="0" shapeId="0">
      <text>
        <t>Loan: CCG - Commercial Credit Group, AMORTIZING. Interest = Opening * Annual Rate / 12.</t>
      </text>
    </comment>
    <comment ref="E60" authorId="0" shapeId="0">
      <text>
        <t>Loan: CCG - Commercial Credit Group, AMORTIZING. Principal = MIN(Opening, Payment - Interest).</t>
      </text>
    </comment>
    <comment ref="F60" authorId="0" shapeId="0">
      <text>
        <t>Loan: CCG - Commercial Credit Group, AMORTIZING. Closing = Opening - Principal.</t>
      </text>
    </comment>
    <comment ref="C61" authorId="0" shapeId="0">
      <text>
        <t>Loan: CCG - Commercial Credit Group, AMORTIZING. Prior month closing balance.</t>
      </text>
    </comment>
    <comment ref="D61" authorId="0" shapeId="0">
      <text>
        <t>Loan: CCG - Commercial Credit Group, AMORTIZING. Interest = Opening * Annual Rate / 12.</t>
      </text>
    </comment>
    <comment ref="E61" authorId="0" shapeId="0">
      <text>
        <t>Loan: CCG - Commercial Credit Group, AMORTIZING. Principal = MIN(Opening, Payment - Interest).</t>
      </text>
    </comment>
    <comment ref="F61" authorId="0" shapeId="0">
      <text>
        <t>Loan: CCG - Commercial Credit Group, AMORTIZING. Closing = Opening - Principal.</t>
      </text>
    </comment>
    <comment ref="C62" authorId="0" shapeId="0">
      <text>
        <t>Loan: CCG - Commercial Credit Group, AMORTIZING. Prior month closing balance.</t>
      </text>
    </comment>
    <comment ref="D62" authorId="0" shapeId="0">
      <text>
        <t>Loan: CCG - Commercial Credit Group, AMORTIZING. Interest = Opening * Annual Rate / 12.</t>
      </text>
    </comment>
    <comment ref="E62" authorId="0" shapeId="0">
      <text>
        <t>Loan: CCG - Commercial Credit Group, AMORTIZING. Principal = MIN(Opening, Payment - Interest).</t>
      </text>
    </comment>
    <comment ref="F62" authorId="0" shapeId="0">
      <text>
        <t>Loan: CCG - Commercial Credit Group, AMORTIZING. Closing = Opening - Principal.</t>
      </text>
    </comment>
    <comment ref="C63" authorId="0" shapeId="0">
      <text>
        <t>Loan: CCG - Commercial Credit Group, AMORTIZING. Prior month closing balance.</t>
      </text>
    </comment>
    <comment ref="D63" authorId="0" shapeId="0">
      <text>
        <t>Loan: CCG - Commercial Credit Group, AMORTIZING. Interest = Opening * Annual Rate / 12.</t>
      </text>
    </comment>
    <comment ref="E63" authorId="0" shapeId="0">
      <text>
        <t>Loan: CCG - Commercial Credit Group, AMORTIZING. Principal = MIN(Opening, Payment - Interest).</t>
      </text>
    </comment>
    <comment ref="F63" authorId="0" shapeId="0">
      <text>
        <t>Loan: CCG - Commercial Credit Group, AMORTIZING. Closing = Opening - Principal.</t>
      </text>
    </comment>
    <comment ref="C64" authorId="0" shapeId="0">
      <text>
        <t>Loan: CCG - Commercial Credit Group, AMORTIZING. Prior month closing balance.</t>
      </text>
    </comment>
    <comment ref="D64" authorId="0" shapeId="0">
      <text>
        <t>Loan: CCG - Commercial Credit Group, AMORTIZING. Interest = Opening * Annual Rate / 12.</t>
      </text>
    </comment>
    <comment ref="E64" authorId="0" shapeId="0">
      <text>
        <t>Loan: CCG - Commercial Credit Group, AMORTIZING. Principal = MIN(Opening, Payment - Interest).</t>
      </text>
    </comment>
    <comment ref="F64" authorId="0" shapeId="0">
      <text>
        <t>Loan: CCG - Commercial Credit Group, AMORTIZING. Closing = Opening - Principal.</t>
      </text>
    </comment>
    <comment ref="C65" authorId="0" shapeId="0">
      <text>
        <t>Loan: CCG - Commercial Credit Group, AMORTIZING. Prior month closing balance.</t>
      </text>
    </comment>
    <comment ref="D65" authorId="0" shapeId="0">
      <text>
        <t>Loan: CCG - Commercial Credit Group, AMORTIZING. Interest = Opening * Annual Rate / 12.</t>
      </text>
    </comment>
    <comment ref="E65" authorId="0" shapeId="0">
      <text>
        <t>Loan: CCG - Commercial Credit Group, AMORTIZING. Principal = MIN(Opening, Payment - Interest).</t>
      </text>
    </comment>
    <comment ref="F65" authorId="0" shapeId="0">
      <text>
        <t>Loan: CCG - Commercial Credit Group, AMORTIZING. Closing = Opening - Principal.</t>
      </text>
    </comment>
    <comment ref="C66" authorId="0" shapeId="0">
      <text>
        <t>Loan: CCG - Commercial Credit Group, AMORTIZING. Prior month closing balance.</t>
      </text>
    </comment>
    <comment ref="D66" authorId="0" shapeId="0">
      <text>
        <t>Loan: CCG - Commercial Credit Group, AMORTIZING. Interest = Opening * Annual Rate / 12.</t>
      </text>
    </comment>
    <comment ref="E66" authorId="0" shapeId="0">
      <text>
        <t>Loan: CCG - Commercial Credit Group, AMORTIZING. Principal = MIN(Opening, Payment - Interest).</t>
      </text>
    </comment>
    <comment ref="F66" authorId="0" shapeId="0">
      <text>
        <t>Loan: CCG - Commercial Credit Group, AMORTIZING. Closing = Opening - Principal.</t>
      </text>
    </comment>
    <comment ref="C67" authorId="0" shapeId="0">
      <text>
        <t>Loan: CCG - Commercial Credit Group, AMORTIZING. Prior month closing balance.</t>
      </text>
    </comment>
    <comment ref="D67" authorId="0" shapeId="0">
      <text>
        <t>Loan: CCG - Commercial Credit Group, AMORTIZING. Interest = Opening * Annual Rate / 12.</t>
      </text>
    </comment>
    <comment ref="E67" authorId="0" shapeId="0">
      <text>
        <t>Loan: CCG - Commercial Credit Group, AMORTIZING. Principal = MIN(Opening, Payment - Interest).</t>
      </text>
    </comment>
    <comment ref="F67" authorId="0" shapeId="0">
      <text>
        <t>Loan: CCG - Commercial Credit Group, AMORTIZING. Closing = Opening - Principal.</t>
      </text>
    </comment>
    <comment ref="C68" authorId="0" shapeId="0">
      <text>
        <t>Loan: CCG - Commercial Credit Group, AMORTIZING. Prior month closing balance.</t>
      </text>
    </comment>
    <comment ref="D68" authorId="0" shapeId="0">
      <text>
        <t>Loan: CCG - Commercial Credit Group, AMORTIZING. Interest = Opening * Annual Rate / 12.</t>
      </text>
    </comment>
    <comment ref="E68" authorId="0" shapeId="0">
      <text>
        <t>Loan: CCG - Commercial Credit Group, AMORTIZING. Principal = MIN(Opening, Payment - Interest).</t>
      </text>
    </comment>
    <comment ref="F68" authorId="0" shapeId="0">
      <text>
        <t>Loan: CCG - Commercial Credit Group, AMORTIZING. Closing = Opening - Principal.</t>
      </text>
    </comment>
    <comment ref="C69" authorId="0" shapeId="0">
      <text>
        <t>Loan: CCG - Commercial Credit Group, AMORTIZING. Prior month closing balance.</t>
      </text>
    </comment>
    <comment ref="D69" authorId="0" shapeId="0">
      <text>
        <t>Loan: CCG - Commercial Credit Group, AMORTIZING. Interest = Opening * Annual Rate / 12.</t>
      </text>
    </comment>
    <comment ref="E69" authorId="0" shapeId="0">
      <text>
        <t>Loan: CCG - Commercial Credit Group, AMORTIZING. Principal = MIN(Opening, Payment - Interest).</t>
      </text>
    </comment>
    <comment ref="F69" authorId="0" shapeId="0">
      <text>
        <t>Loan: CCG - Commercial Credit Group, AMORTIZING. Closing = Opening - Principal.</t>
      </text>
    </comment>
    <comment ref="C70" authorId="0" shapeId="0">
      <text>
        <t>Loan: CCG - Commercial Credit Group, AMORTIZING. Prior month closing balance.</t>
      </text>
    </comment>
    <comment ref="D70" authorId="0" shapeId="0">
      <text>
        <t>Loan: CCG - Commercial Credit Group, AMORTIZING. Interest = Opening * Annual Rate / 12.</t>
      </text>
    </comment>
    <comment ref="E70" authorId="0" shapeId="0">
      <text>
        <t>Loan: CCG - Commercial Credit Group, AMORTIZING. Principal = MIN(Opening, Payment - Interest).</t>
      </text>
    </comment>
    <comment ref="F70" authorId="0" shapeId="0">
      <text>
        <t>Loan: CCG - Commercial Credit Group, AMORTIZING. Closing = Opening - Principal.</t>
      </text>
    </comment>
    <comment ref="C71" authorId="0" shapeId="0">
      <text>
        <t>Loan: CCG - Commercial Credit Group, AMORTIZING. Prior month closing balance.</t>
      </text>
    </comment>
    <comment ref="D71" authorId="0" shapeId="0">
      <text>
        <t>Loan: CCG - Commercial Credit Group, AMORTIZING. Interest = Opening * Annual Rate / 12.</t>
      </text>
    </comment>
    <comment ref="E71" authorId="0" shapeId="0">
      <text>
        <t>Loan: CCG - Commercial Credit Group, AMORTIZING. Principal = MIN(Opening, Payment - Interest).</t>
      </text>
    </comment>
    <comment ref="F71" authorId="0" shapeId="0">
      <text>
        <t>Loan: CCG - Commercial Credit Group, AMORTIZING. Closing = Opening - Principal.</t>
      </text>
    </comment>
    <comment ref="C72" authorId="0" shapeId="0">
      <text>
        <t>Loan: CCG - Commercial Credit Group, AMORTIZING. Prior month closing balance.</t>
      </text>
    </comment>
    <comment ref="D72" authorId="0" shapeId="0">
      <text>
        <t>Loan: CCG - Commercial Credit Group, AMORTIZING. Interest = Opening * Annual Rate / 12.</t>
      </text>
    </comment>
    <comment ref="E72" authorId="0" shapeId="0">
      <text>
        <t>Loan: CCG - Commercial Credit Group, AMORTIZING. Principal = MIN(Opening, Payment - Interest).</t>
      </text>
    </comment>
    <comment ref="F72" authorId="0" shapeId="0">
      <text>
        <t>Loan: CCG - Commercial Credit Group, AMORTIZING. Closing = Opening - Principal.</t>
      </text>
    </comment>
    <comment ref="C73" authorId="0" shapeId="0">
      <text>
        <t>Loan: CCG - Commercial Credit Group, AMORTIZING. Prior month closing balance.</t>
      </text>
    </comment>
    <comment ref="D73" authorId="0" shapeId="0">
      <text>
        <t>Loan: CCG - Commercial Credit Group, AMORTIZING. Interest = Opening * Annual Rate / 12.</t>
      </text>
    </comment>
    <comment ref="E73" authorId="0" shapeId="0">
      <text>
        <t>Loan: CCG - Commercial Credit Group, AMORTIZING. Principal = MIN(Opening, Payment - Interest).</t>
      </text>
    </comment>
    <comment ref="F73" authorId="0" shapeId="0">
      <text>
        <t>Loan: CCG - Commercial Credit Group, AMORTIZING. Closing = Opening - Principal.</t>
      </text>
    </comment>
    <comment ref="C74" authorId="0" shapeId="0">
      <text>
        <t>Loan: CCG - Commercial Credit Group, AMORTIZING. Prior month closing balance.</t>
      </text>
    </comment>
    <comment ref="D74" authorId="0" shapeId="0">
      <text>
        <t>Loan: CCG - Commercial Credit Group, AMORTIZING. Interest = Opening * Annual Rate / 12.</t>
      </text>
    </comment>
    <comment ref="E74" authorId="0" shapeId="0">
      <text>
        <t>Loan: CCG - Commercial Credit Group, AMORTIZING. Principal = MIN(Opening, Payment - Interest).</t>
      </text>
    </comment>
    <comment ref="F74" authorId="0" shapeId="0">
      <text>
        <t>Loan: CCG - Commercial Credit Group, AMORTIZING. Closing = Opening - Principal.</t>
      </text>
    </comment>
    <comment ref="C75" authorId="0" shapeId="0">
      <text>
        <t>Loan: CCG - Commercial Credit Group, AMORTIZING. Prior month closing balance.</t>
      </text>
    </comment>
    <comment ref="D75" authorId="0" shapeId="0">
      <text>
        <t>Loan: CCG - Commercial Credit Group, AMORTIZING. Interest = Opening * Annual Rate / 12.</t>
      </text>
    </comment>
    <comment ref="E75" authorId="0" shapeId="0">
      <text>
        <t>Loan: CCG - Commercial Credit Group, AMORTIZING. Principal = MIN(Opening, Payment - Interest).</t>
      </text>
    </comment>
    <comment ref="F75" authorId="0" shapeId="0">
      <text>
        <t>Loan: CCG - Commercial Credit Group, AMORTIZING. Closing = Opening - Principal.</t>
      </text>
    </comment>
    <comment ref="C76" authorId="0" shapeId="0">
      <text>
        <t>Loan: CCG - Commercial Credit Group, AMORTIZING. Prior month closing balance.</t>
      </text>
    </comment>
    <comment ref="D76" authorId="0" shapeId="0">
      <text>
        <t>Loan: CCG - Commercial Credit Group, AMORTIZING. Interest = Opening * Annual Rate / 12.</t>
      </text>
    </comment>
    <comment ref="E76" authorId="0" shapeId="0">
      <text>
        <t>Loan: CCG - Commercial Credit Group, AMORTIZING. Principal = MIN(Opening, Payment - Interest).</t>
      </text>
    </comment>
    <comment ref="F76" authorId="0" shapeId="0">
      <text>
        <t>Loan: CCG - Commercial Credit Group, AMORTIZING. Closing = Opening - Principal.</t>
      </text>
    </comment>
    <comment ref="C77" authorId="0" shapeId="0">
      <text>
        <t>Loan: CCG - Commercial Credit Group, AMORTIZING. Prior month closing balance.</t>
      </text>
    </comment>
    <comment ref="D77" authorId="0" shapeId="0">
      <text>
        <t>Loan: CCG - Commercial Credit Group, AMORTIZING. Interest = Opening * Annual Rate / 12.</t>
      </text>
    </comment>
    <comment ref="E77" authorId="0" shapeId="0">
      <text>
        <t>Loan: CCG - Commercial Credit Group, AMORTIZING. Principal = MIN(Opening, Payment - Interest).</t>
      </text>
    </comment>
    <comment ref="F77" authorId="0" shapeId="0">
      <text>
        <t>Loan: CCG - Commercial Credit Group, AMORTIZING. Closing = Opening - Principal.</t>
      </text>
    </comment>
    <comment ref="C78" authorId="0" shapeId="0">
      <text>
        <t>Loan: CCG - Commercial Credit Group, AMORTIZING. Prior month closing balance.</t>
      </text>
    </comment>
    <comment ref="D78" authorId="0" shapeId="0">
      <text>
        <t>Loan: CCG - Commercial Credit Group, AMORTIZING. Interest = Opening * Annual Rate / 12.</t>
      </text>
    </comment>
    <comment ref="E78" authorId="0" shapeId="0">
      <text>
        <t>Loan: CCG - Commercial Credit Group, AMORTIZING. Principal = MIN(Opening, Payment - Interest).</t>
      </text>
    </comment>
    <comment ref="F78" authorId="0" shapeId="0">
      <text>
        <t>Loan: CCG - Commercial Credit Group, AMORTIZING. Closing = Opening - Principal.</t>
      </text>
    </comment>
    <comment ref="C79" authorId="0" shapeId="0">
      <text>
        <t>Loan: CCG - Commercial Credit Group, AMORTIZING. Prior month closing balance.</t>
      </text>
    </comment>
    <comment ref="D79" authorId="0" shapeId="0">
      <text>
        <t>Loan: CCG - Commercial Credit Group, AMORTIZING. Interest = Opening * Annual Rate / 12.</t>
      </text>
    </comment>
    <comment ref="E79" authorId="0" shapeId="0">
      <text>
        <t>Loan: CCG - Commercial Credit Group, AMORTIZING. Principal = MIN(Opening, Payment - Interest).</t>
      </text>
    </comment>
    <comment ref="F79" authorId="0" shapeId="0">
      <text>
        <t>Loan: CCG - Commercial Credit Group, AMORTIZING. Closing = Opening - Principal.</t>
      </text>
    </comment>
    <comment ref="B84" authorId="0" shapeId="0">
      <text>
        <t>Sum of rows 24-35: Year 2026 beginning balance.</t>
      </text>
    </comment>
    <comment ref="C84" authorId="0" shapeId="0">
      <text>
        <t>Sum of rows 24-35: Total interest for year 2026.</t>
      </text>
    </comment>
    <comment ref="D84" authorId="0" shapeId="0">
      <text>
        <t>Sum of rows 24-35: Total principal for year 2026.</t>
      </text>
    </comment>
    <comment ref="E84" authorId="0" shapeId="0">
      <text>
        <t>Sum of rows 24-35: Year 2026 ending balance.</t>
      </text>
    </comment>
    <comment ref="B85" authorId="0" shapeId="0">
      <text>
        <t>Sum of rows 36-47: Year 2027 beginning balance.</t>
      </text>
    </comment>
    <comment ref="C85" authorId="0" shapeId="0">
      <text>
        <t>Sum of rows 36-47: Total interest for year 2027.</t>
      </text>
    </comment>
    <comment ref="D85" authorId="0" shapeId="0">
      <text>
        <t>Sum of rows 36-47: Total principal for year 2027.</t>
      </text>
    </comment>
    <comment ref="E85" authorId="0" shapeId="0">
      <text>
        <t>Sum of rows 36-47: Year 2027 ending balance.</t>
      </text>
    </comment>
    <comment ref="B86" authorId="0" shapeId="0">
      <text>
        <t>Sum of rows 48-59: Year 2028 beginning balance.</t>
      </text>
    </comment>
    <comment ref="C86" authorId="0" shapeId="0">
      <text>
        <t>Sum of rows 48-59: Total interest for year 2028.</t>
      </text>
    </comment>
    <comment ref="D86" authorId="0" shapeId="0">
      <text>
        <t>Sum of rows 48-59: Total principal for year 2028.</t>
      </text>
    </comment>
    <comment ref="E86" authorId="0" shapeId="0">
      <text>
        <t>Sum of rows 48-59: Year 2028 ending balance.</t>
      </text>
    </comment>
    <comment ref="B87" authorId="0" shapeId="0">
      <text>
        <t>Sum of rows 60-71: Year 2029 beginning balance.</t>
      </text>
    </comment>
    <comment ref="C87" authorId="0" shapeId="0">
      <text>
        <t>Sum of rows 60-71: Total interest for year 2029.</t>
      </text>
    </comment>
    <comment ref="D87" authorId="0" shapeId="0">
      <text>
        <t>Sum of rows 60-71: Total principal for year 2029.</t>
      </text>
    </comment>
    <comment ref="E87" authorId="0" shapeId="0">
      <text>
        <t>Sum of rows 60-71: Year 2029 ending balance.</t>
      </text>
    </comment>
    <comment ref="B88" authorId="0" shapeId="0">
      <text>
        <t>Sum of rows 72-79: Year 2030 beginning balance.</t>
      </text>
    </comment>
    <comment ref="C88" authorId="0" shapeId="0">
      <text>
        <t>Sum of rows 72-79: Total interest for year 2030.</t>
      </text>
    </comment>
    <comment ref="D88" authorId="0" shapeId="0">
      <text>
        <t>Sum of rows 72-79: Total principal for year 2030.</t>
      </text>
    </comment>
    <comment ref="E88" authorId="0" shapeId="0">
      <text>
        <t>Sum of rows 72-79: Year 2030 ending balance.</t>
      </text>
    </comment>
    <comment ref="B91" authorId="0" shapeId="0">
      <text>
        <t>Links to: Debt Schedule. Current balance as of 12/31/2025 for CCG 5 Trucks 809-813.</t>
      </text>
    </comment>
  </commentList>
</comments>
</file>

<file path=xl/comments/comment5.xml><?xml version="1.0" encoding="utf-8"?>
<comments xmlns="http://schemas.openxmlformats.org/spreadsheetml/2006/main">
  <authors>
    <author>Model Builder</author>
  </authors>
  <commentList>
    <comment ref="C7" authorId="0" shapeId="0">
      <text>
        <t>Links to: _Wintrust_1 cell B8 - Current Balance</t>
      </text>
    </comment>
    <comment ref="D7" authorId="0" shapeId="0">
      <text>
        <t>Links to: _Wintrust_1 cell B9 - Annual Rate</t>
      </text>
    </comment>
    <comment ref="E7" authorId="0" shapeId="0">
      <text>
        <t>Links to: _Wintrust_1 cell B10 - Monthly Payment</t>
      </text>
    </comment>
    <comment ref="F7" authorId="0" shapeId="0">
      <text>
        <t>Calculated: Current Balance x Interest Rate</t>
      </text>
    </comment>
    <comment ref="G7" authorId="0" shapeId="0">
      <text>
        <t>Calculated: MIN(Balance, (Payment*12 - Interest))</t>
      </text>
    </comment>
    <comment ref="C8" authorId="0" shapeId="0">
      <text>
        <t>Sum of Wintrust loan balances: rows 7-7</t>
      </text>
    </comment>
    <comment ref="C11" authorId="0" shapeId="0">
      <text>
        <t>Links to: _BMO_1 cell B6 - Current Balance</t>
      </text>
    </comment>
    <comment ref="D11" authorId="0" shapeId="0">
      <text>
        <t>Links to: _BMO_1 cell B7 - Annual Rate</t>
      </text>
    </comment>
    <comment ref="E11" authorId="0" shapeId="0">
      <text>
        <t>Links to: _BMO_1 cell B8 - Monthly Payment</t>
      </text>
    </comment>
    <comment ref="F11" authorId="0" shapeId="0">
      <text>
        <t>Calculated: Current Balance x Interest Rate</t>
      </text>
    </comment>
    <comment ref="G11" authorId="0" shapeId="0">
      <text>
        <t>Calculated: MIN(Balance, (Payment*12 - Interest))</t>
      </text>
    </comment>
    <comment ref="C12" authorId="0" shapeId="0">
      <text>
        <t>Links to: _BMO_2 cell B6 - Current Balance</t>
      </text>
    </comment>
    <comment ref="D12" authorId="0" shapeId="0">
      <text>
        <t>Links to: _BMO_2 cell B7 - Annual Rate</t>
      </text>
    </comment>
    <comment ref="E12" authorId="0" shapeId="0">
      <text>
        <t>Links to: _BMO_2 cell B8 - Monthly Payment</t>
      </text>
    </comment>
    <comment ref="F12" authorId="0" shapeId="0">
      <text>
        <t>Calculated: Current Balance x Interest Rate</t>
      </text>
    </comment>
    <comment ref="G12" authorId="0" shapeId="0">
      <text>
        <t>Calculated: MIN(Balance, (Payment*12 - Interest))</t>
      </text>
    </comment>
    <comment ref="C13" authorId="0" shapeId="0">
      <text>
        <t>Links to: _BMO_3 cell B6 - Current Balance</t>
      </text>
    </comment>
    <comment ref="D13" authorId="0" shapeId="0">
      <text>
        <t>Links to: _BMO_3 cell B7 - Annual Rate</t>
      </text>
    </comment>
    <comment ref="E13" authorId="0" shapeId="0">
      <text>
        <t>Links to: _BMO_3 cell B8 - Monthly Payment</t>
      </text>
    </comment>
    <comment ref="F13" authorId="0" shapeId="0">
      <text>
        <t>Calculated: Current Balance x Interest Rate</t>
      </text>
    </comment>
    <comment ref="G13" authorId="0" shapeId="0">
      <text>
        <t>Calculated: MIN(Balance, (Payment*12 - Interest))</t>
      </text>
    </comment>
    <comment ref="C14" authorId="0" shapeId="0">
      <text>
        <t>Links to: _BMO_4 cell B6 - Current Balance</t>
      </text>
    </comment>
    <comment ref="D14" authorId="0" shapeId="0">
      <text>
        <t>Links to: _BMO_4 cell B7 - Annual Rate</t>
      </text>
    </comment>
    <comment ref="E14" authorId="0" shapeId="0">
      <text>
        <t>Links to: _BMO_4 cell B8 - Monthly Payment</t>
      </text>
    </comment>
    <comment ref="F14" authorId="0" shapeId="0">
      <text>
        <t>Calculated: Current Balance x Interest Rate</t>
      </text>
    </comment>
    <comment ref="G14" authorId="0" shapeId="0">
      <text>
        <t>Calculated: MIN(Balance, (Payment*12 - Interest))</t>
      </text>
    </comment>
    <comment ref="C15" authorId="0" shapeId="0">
      <text>
        <t>Links to: _BMO_5 cell B6 - Current Balance</t>
      </text>
    </comment>
    <comment ref="D15" authorId="0" shapeId="0">
      <text>
        <t>Links to: _BMO_5 cell B7 - Annual Rate</t>
      </text>
    </comment>
    <comment ref="E15" authorId="0" shapeId="0">
      <text>
        <t>Links to: _BMO_5 cell B8 - Monthly Payment</t>
      </text>
    </comment>
    <comment ref="F15" authorId="0" shapeId="0">
      <text>
        <t>Calculated: Current Balance x Interest Rate</t>
      </text>
    </comment>
    <comment ref="G15" authorId="0" shapeId="0">
      <text>
        <t>Calculated: MIN(Balance, (Payment*12 - Interest))</t>
      </text>
    </comment>
    <comment ref="C16" authorId="0" shapeId="0">
      <text>
        <t>Links to: _BMO_6 cell B6 - Current Balance</t>
      </text>
    </comment>
    <comment ref="D16" authorId="0" shapeId="0">
      <text>
        <t>Links to: _BMO_6 cell B7 - Annual Rate</t>
      </text>
    </comment>
    <comment ref="E16" authorId="0" shapeId="0">
      <text>
        <t>Links to: _BMO_6 cell B8 - Monthly Payment</t>
      </text>
    </comment>
    <comment ref="F16" authorId="0" shapeId="0">
      <text>
        <t>Calculated: Current Balance x Interest Rate</t>
      </text>
    </comment>
    <comment ref="G16" authorId="0" shapeId="0">
      <text>
        <t>Calculated: MIN(Balance, (Payment*12 - Interest))</t>
      </text>
    </comment>
    <comment ref="C17" authorId="0" shapeId="0">
      <text>
        <t>Links to: _BMO_7 cell B6 - Current Balance</t>
      </text>
    </comment>
    <comment ref="D17" authorId="0" shapeId="0">
      <text>
        <t>Links to: _BMO_7 cell B7 - Annual Rate</t>
      </text>
    </comment>
    <comment ref="E17" authorId="0" shapeId="0">
      <text>
        <t>Links to: _BMO_7 cell B8 - Monthly Payment</t>
      </text>
    </comment>
    <comment ref="F17" authorId="0" shapeId="0">
      <text>
        <t>Calculated: Current Balance x Interest Rate</t>
      </text>
    </comment>
    <comment ref="G17" authorId="0" shapeId="0">
      <text>
        <t>Calculated: MIN(Balance, (Payment*12 - Interest))</t>
      </text>
    </comment>
    <comment ref="C18" authorId="0" shapeId="0">
      <text>
        <t>Links to: _BMO_8 cell B6 - Current Balance</t>
      </text>
    </comment>
    <comment ref="D18" authorId="0" shapeId="0">
      <text>
        <t>Links to: _BMO_8 cell B7 - Annual Rate</t>
      </text>
    </comment>
    <comment ref="E18" authorId="0" shapeId="0">
      <text>
        <t>Links to: _BMO_8 cell B8 - Monthly Payment</t>
      </text>
    </comment>
    <comment ref="F18" authorId="0" shapeId="0">
      <text>
        <t>Calculated: Current Balance x Interest Rate</t>
      </text>
    </comment>
    <comment ref="G18" authorId="0" shapeId="0">
      <text>
        <t>Calculated: MIN(Balance, (Payment*12 - Interest))</t>
      </text>
    </comment>
    <comment ref="C19" authorId="0" shapeId="0">
      <text>
        <t>Links to: _BMO_9 cell B6 - Current Balance</t>
      </text>
    </comment>
    <comment ref="D19" authorId="0" shapeId="0">
      <text>
        <t>Links to: _BMO_9 cell B7 - Annual Rate</t>
      </text>
    </comment>
    <comment ref="E19" authorId="0" shapeId="0">
      <text>
        <t>Links to: _BMO_9 cell B8 - Monthly Payment</t>
      </text>
    </comment>
    <comment ref="F19" authorId="0" shapeId="0">
      <text>
        <t>Calculated: Current Balance x Interest Rate</t>
      </text>
    </comment>
    <comment ref="G19" authorId="0" shapeId="0">
      <text>
        <t>Calculated: MIN(Balance, (Payment*12 - Interest))</t>
      </text>
    </comment>
    <comment ref="C20" authorId="0" shapeId="0">
      <text>
        <t>Links to: _BMO_10 cell B6 - Current Balance</t>
      </text>
    </comment>
    <comment ref="D20" authorId="0" shapeId="0">
      <text>
        <t>Links to: _BMO_10 cell B7 - Annual Rate</t>
      </text>
    </comment>
    <comment ref="E20" authorId="0" shapeId="0">
      <text>
        <t>Links to: _BMO_10 cell B8 - Monthly Payment</t>
      </text>
    </comment>
    <comment ref="F20" authorId="0" shapeId="0">
      <text>
        <t>Calculated: Current Balance x Interest Rate</t>
      </text>
    </comment>
    <comment ref="G20" authorId="0" shapeId="0">
      <text>
        <t>Calculated: MIN(Balance, (Payment*12 - Interest))</t>
      </text>
    </comment>
    <comment ref="C21" authorId="0" shapeId="0">
      <text>
        <t>Sum of BMO loan balances: rows 11-20</t>
      </text>
    </comment>
    <comment ref="C24" authorId="0" shapeId="0">
      <text>
        <t>Links to: _Webster_1 cell B6 - Current Balance</t>
      </text>
    </comment>
    <comment ref="D24" authorId="0" shapeId="0">
      <text>
        <t>Links to: _Webster_1 cell B7 - Annual Rate</t>
      </text>
    </comment>
    <comment ref="E24" authorId="0" shapeId="0">
      <text>
        <t>Links to: _Webster_1 cell B8 - Monthly Payment</t>
      </text>
    </comment>
    <comment ref="F24" authorId="0" shapeId="0">
      <text>
        <t>Calculated: Current Balance x Interest Rate</t>
      </text>
    </comment>
    <comment ref="G24" authorId="0" shapeId="0">
      <text>
        <t>Calculated: MIN(Balance, (Payment*12 - Interest))</t>
      </text>
    </comment>
    <comment ref="C25" authorId="0" shapeId="0">
      <text>
        <t>Links to: _Webster_2 cell B6 - Current Balance</t>
      </text>
    </comment>
    <comment ref="D25" authorId="0" shapeId="0">
      <text>
        <t>Links to: _Webster_2 cell B7 - Annual Rate</t>
      </text>
    </comment>
    <comment ref="E25" authorId="0" shapeId="0">
      <text>
        <t>Links to: _Webster_2 cell B8 - Monthly Payment</t>
      </text>
    </comment>
    <comment ref="F25" authorId="0" shapeId="0">
      <text>
        <t>Calculated: Current Balance x Interest Rate</t>
      </text>
    </comment>
    <comment ref="G25" authorId="0" shapeId="0">
      <text>
        <t>Calculated: MIN(Balance, (Payment*12 - Interest))</t>
      </text>
    </comment>
    <comment ref="C26" authorId="0" shapeId="0">
      <text>
        <t>Links to: _Webster_3 cell B6 - Current Balance</t>
      </text>
    </comment>
    <comment ref="D26" authorId="0" shapeId="0">
      <text>
        <t>Links to: _Webster_3 cell B7 - Annual Rate</t>
      </text>
    </comment>
    <comment ref="E26" authorId="0" shapeId="0">
      <text>
        <t>Links to: _Webster_3 cell B8 - Monthly Payment</t>
      </text>
    </comment>
    <comment ref="F26" authorId="0" shapeId="0">
      <text>
        <t>Calculated: Current Balance x Interest Rate</t>
      </text>
    </comment>
    <comment ref="G26" authorId="0" shapeId="0">
      <text>
        <t>Calculated: MIN(Balance, (Payment*12 - Interest))</t>
      </text>
    </comment>
    <comment ref="C27" authorId="0" shapeId="0">
      <text>
        <t>Links to: _Webster_4 cell B6 - Current Balance</t>
      </text>
    </comment>
    <comment ref="D27" authorId="0" shapeId="0">
      <text>
        <t>Links to: _Webster_4 cell B7 - Annual Rate</t>
      </text>
    </comment>
    <comment ref="E27" authorId="0" shapeId="0">
      <text>
        <t>Links to: _Webster_4 cell B8 - Monthly Payment</t>
      </text>
    </comment>
    <comment ref="F27" authorId="0" shapeId="0">
      <text>
        <t>Calculated: Current Balance x Interest Rate</t>
      </text>
    </comment>
    <comment ref="G27" authorId="0" shapeId="0">
      <text>
        <t>Calculated: MIN(Balance, (Payment*12 - Interest))</t>
      </text>
    </comment>
    <comment ref="C28" authorId="0" shapeId="0">
      <text>
        <t>Links to: _Webster_5 cell B6 - Current Balance</t>
      </text>
    </comment>
    <comment ref="D28" authorId="0" shapeId="0">
      <text>
        <t>Links to: _Webster_5 cell B7 - Annual Rate</t>
      </text>
    </comment>
    <comment ref="E28" authorId="0" shapeId="0">
      <text>
        <t>Links to: _Webster_5 cell B8 - Monthly Payment</t>
      </text>
    </comment>
    <comment ref="F28" authorId="0" shapeId="0">
      <text>
        <t>Calculated: Current Balance x Interest Rate</t>
      </text>
    </comment>
    <comment ref="G28" authorId="0" shapeId="0">
      <text>
        <t>Calculated: MIN(Balance, (Payment*12 - Interest))</t>
      </text>
    </comment>
    <comment ref="C29" authorId="0" shapeId="0">
      <text>
        <t>Links to: _Webster_6 cell B6 - Current Balance</t>
      </text>
    </comment>
    <comment ref="D29" authorId="0" shapeId="0">
      <text>
        <t>Links to: _Webster_6 cell B7 - Annual Rate</t>
      </text>
    </comment>
    <comment ref="E29" authorId="0" shapeId="0">
      <text>
        <t>Links to: _Webster_6 cell B8 - Monthly Payment</t>
      </text>
    </comment>
    <comment ref="F29" authorId="0" shapeId="0">
      <text>
        <t>Calculated: Current Balance x Interest Rate</t>
      </text>
    </comment>
    <comment ref="G29" authorId="0" shapeId="0">
      <text>
        <t>Calculated: MIN(Balance, (Payment*12 - Interest))</t>
      </text>
    </comment>
    <comment ref="C30" authorId="0" shapeId="0">
      <text>
        <t>Sum of Webster loan balances: rows 24-29</t>
      </text>
    </comment>
    <comment ref="C33" authorId="0" shapeId="0">
      <text>
        <t>Links to: _Paccar_1 cell B6 - Current Balance</t>
      </text>
    </comment>
    <comment ref="D33" authorId="0" shapeId="0">
      <text>
        <t>Links to: _Paccar_1 cell B7 - Annual Rate</t>
      </text>
    </comment>
    <comment ref="E33" authorId="0" shapeId="0">
      <text>
        <t>Links to: _Paccar_1 cell B8 - Monthly Payment</t>
      </text>
    </comment>
    <comment ref="F33" authorId="0" shapeId="0">
      <text>
        <t>Calculated: Current Balance x Interest Rate</t>
      </text>
    </comment>
    <comment ref="G33" authorId="0" shapeId="0">
      <text>
        <t>Calculated: MIN(Balance, (Payment*12 - Interest))</t>
      </text>
    </comment>
    <comment ref="C34" authorId="0" shapeId="0">
      <text>
        <t>Links to: _Paccar_2 cell B6 - Current Balance</t>
      </text>
    </comment>
    <comment ref="D34" authorId="0" shapeId="0">
      <text>
        <t>Links to: _Paccar_2 cell B7 - Annual Rate</t>
      </text>
    </comment>
    <comment ref="E34" authorId="0" shapeId="0">
      <text>
        <t>Links to: _Paccar_2 cell B8 - Monthly Payment</t>
      </text>
    </comment>
    <comment ref="F34" authorId="0" shapeId="0">
      <text>
        <t>Calculated: Current Balance x Interest Rate</t>
      </text>
    </comment>
    <comment ref="G34" authorId="0" shapeId="0">
      <text>
        <t>Calculated: MIN(Balance, (Payment*12 - Interest))</t>
      </text>
    </comment>
    <comment ref="C35" authorId="0" shapeId="0">
      <text>
        <t>Links to: _Paccar_3 cell B6 - Current Balance</t>
      </text>
    </comment>
    <comment ref="D35" authorId="0" shapeId="0">
      <text>
        <t>Links to: _Paccar_3 cell B7 - Annual Rate</t>
      </text>
    </comment>
    <comment ref="E35" authorId="0" shapeId="0">
      <text>
        <t>Links to: _Paccar_3 cell B8 - Monthly Payment</t>
      </text>
    </comment>
    <comment ref="F35" authorId="0" shapeId="0">
      <text>
        <t>Calculated: Current Balance x Interest Rate</t>
      </text>
    </comment>
    <comment ref="G35" authorId="0" shapeId="0">
      <text>
        <t>Calculated: MIN(Balance, (Payment*12 - Interest))</t>
      </text>
    </comment>
    <comment ref="C36" authorId="0" shapeId="0">
      <text>
        <t>Links to: _Paccar_4 cell B6 - Current Balance</t>
      </text>
    </comment>
    <comment ref="D36" authorId="0" shapeId="0">
      <text>
        <t>Links to: _Paccar_4 cell B7 - Annual Rate</t>
      </text>
    </comment>
    <comment ref="E36" authorId="0" shapeId="0">
      <text>
        <t>Links to: _Paccar_4 cell B8 - Monthly Payment</t>
      </text>
    </comment>
    <comment ref="F36" authorId="0" shapeId="0">
      <text>
        <t>Calculated: Current Balance x Interest Rate</t>
      </text>
    </comment>
    <comment ref="G36" authorId="0" shapeId="0">
      <text>
        <t>Calculated: MIN(Balance, (Payment*12 - Interest))</t>
      </text>
    </comment>
    <comment ref="C37" authorId="0" shapeId="0">
      <text>
        <t>Links to: _Paccar_5 cell B6 - Current Balance</t>
      </text>
    </comment>
    <comment ref="D37" authorId="0" shapeId="0">
      <text>
        <t>Links to: _Paccar_5 cell B7 - Annual Rate</t>
      </text>
    </comment>
    <comment ref="E37" authorId="0" shapeId="0">
      <text>
        <t>Links to: _Paccar_5 cell B8 - Monthly Payment</t>
      </text>
    </comment>
    <comment ref="F37" authorId="0" shapeId="0">
      <text>
        <t>Calculated: Current Balance x Interest Rate</t>
      </text>
    </comment>
    <comment ref="G37" authorId="0" shapeId="0">
      <text>
        <t>Calculated: MIN(Balance, (Payment*12 - Interest))</t>
      </text>
    </comment>
    <comment ref="C38" authorId="0" shapeId="0">
      <text>
        <t>Links to: _Paccar_6 cell B6 - Current Balance</t>
      </text>
    </comment>
    <comment ref="D38" authorId="0" shapeId="0">
      <text>
        <t>Links to: _Paccar_6 cell B7 - Annual Rate</t>
      </text>
    </comment>
    <comment ref="E38" authorId="0" shapeId="0">
      <text>
        <t>Links to: _Paccar_6 cell B8 - Monthly Payment</t>
      </text>
    </comment>
    <comment ref="F38" authorId="0" shapeId="0">
      <text>
        <t>Calculated: Current Balance x Interest Rate</t>
      </text>
    </comment>
    <comment ref="G38" authorId="0" shapeId="0">
      <text>
        <t>Calculated: MIN(Balance, (Payment*12 - Interest))</t>
      </text>
    </comment>
    <comment ref="C39" authorId="0" shapeId="0">
      <text>
        <t>Links to: _Paccar_7 cell B6 - Current Balance</t>
      </text>
    </comment>
    <comment ref="D39" authorId="0" shapeId="0">
      <text>
        <t>Links to: _Paccar_7 cell B7 - Annual Rate</t>
      </text>
    </comment>
    <comment ref="E39" authorId="0" shapeId="0">
      <text>
        <t>Links to: _Paccar_7 cell B8 - Monthly Payment</t>
      </text>
    </comment>
    <comment ref="F39" authorId="0" shapeId="0">
      <text>
        <t>Calculated: Current Balance x Interest Rate</t>
      </text>
    </comment>
    <comment ref="G39" authorId="0" shapeId="0">
      <text>
        <t>Calculated: MIN(Balance, (Payment*12 - Interest))</t>
      </text>
    </comment>
    <comment ref="C40" authorId="0" shapeId="0">
      <text>
        <t>Links to: _Paccar_8 cell B6 - Current Balance</t>
      </text>
    </comment>
    <comment ref="D40" authorId="0" shapeId="0">
      <text>
        <t>Links to: _Paccar_8 cell B7 - Annual Rate</t>
      </text>
    </comment>
    <comment ref="E40" authorId="0" shapeId="0">
      <text>
        <t>Links to: _Paccar_8 cell B8 - Monthly Payment</t>
      </text>
    </comment>
    <comment ref="F40" authorId="0" shapeId="0">
      <text>
        <t>Calculated: Current Balance x Interest Rate</t>
      </text>
    </comment>
    <comment ref="G40" authorId="0" shapeId="0">
      <text>
        <t>Calculated: MIN(Balance, (Payment*12 - Interest))</t>
      </text>
    </comment>
    <comment ref="C41" authorId="0" shapeId="0">
      <text>
        <t>Links to: _Paccar_9 cell B6 - Current Balance</t>
      </text>
    </comment>
    <comment ref="D41" authorId="0" shapeId="0">
      <text>
        <t>Links to: _Paccar_9 cell B7 - Annual Rate</t>
      </text>
    </comment>
    <comment ref="E41" authorId="0" shapeId="0">
      <text>
        <t>Links to: _Paccar_9 cell B8 - Monthly Payment</t>
      </text>
    </comment>
    <comment ref="F41" authorId="0" shapeId="0">
      <text>
        <t>Calculated: Current Balance x Interest Rate</t>
      </text>
    </comment>
    <comment ref="G41" authorId="0" shapeId="0">
      <text>
        <t>Calculated: MIN(Balance, (Payment*12 - Interest))</t>
      </text>
    </comment>
    <comment ref="C42" authorId="0" shapeId="0">
      <text>
        <t>Links to: _Paccar_10 cell B6 - Current Balance</t>
      </text>
    </comment>
    <comment ref="D42" authorId="0" shapeId="0">
      <text>
        <t>Links to: _Paccar_10 cell B7 - Annual Rate</t>
      </text>
    </comment>
    <comment ref="E42" authorId="0" shapeId="0">
      <text>
        <t>Links to: _Paccar_10 cell B8 - Monthly Payment</t>
      </text>
    </comment>
    <comment ref="F42" authorId="0" shapeId="0">
      <text>
        <t>Calculated: Current Balance x Interest Rate</t>
      </text>
    </comment>
    <comment ref="G42" authorId="0" shapeId="0">
      <text>
        <t>Calculated: MIN(Balance, (Payment*12 - Interest))</t>
      </text>
    </comment>
    <comment ref="C43" authorId="0" shapeId="0">
      <text>
        <t>Links to: _Paccar_11 cell B6 - Current Balance</t>
      </text>
    </comment>
    <comment ref="D43" authorId="0" shapeId="0">
      <text>
        <t>Links to: _Paccar_11 cell B7 - Annual Rate</t>
      </text>
    </comment>
    <comment ref="E43" authorId="0" shapeId="0">
      <text>
        <t>Links to: _Paccar_11 cell B8 - Monthly Payment</t>
      </text>
    </comment>
    <comment ref="F43" authorId="0" shapeId="0">
      <text>
        <t>Calculated: Current Balance x Interest Rate</t>
      </text>
    </comment>
    <comment ref="G43" authorId="0" shapeId="0">
      <text>
        <t>Calculated: MIN(Balance, (Payment*12 - Interest))</t>
      </text>
    </comment>
    <comment ref="C44" authorId="0" shapeId="0">
      <text>
        <t>Links to: _Paccar_12 cell B6 - Current Balance</t>
      </text>
    </comment>
    <comment ref="D44" authorId="0" shapeId="0">
      <text>
        <t>Links to: _Paccar_12 cell B7 - Annual Rate</t>
      </text>
    </comment>
    <comment ref="E44" authorId="0" shapeId="0">
      <text>
        <t>Links to: _Paccar_12 cell B8 - Monthly Payment</t>
      </text>
    </comment>
    <comment ref="F44" authorId="0" shapeId="0">
      <text>
        <t>Calculated: Current Balance x Interest Rate</t>
      </text>
    </comment>
    <comment ref="G44" authorId="0" shapeId="0">
      <text>
        <t>Calculated: MIN(Balance, (Payment*12 - Interest))</t>
      </text>
    </comment>
    <comment ref="C45" authorId="0" shapeId="0">
      <text>
        <t>Links to: _Paccar_13 cell B6 - Current Balance</t>
      </text>
    </comment>
    <comment ref="D45" authorId="0" shapeId="0">
      <text>
        <t>Links to: _Paccar_13 cell B7 - Annual Rate</t>
      </text>
    </comment>
    <comment ref="E45" authorId="0" shapeId="0">
      <text>
        <t>Links to: _Paccar_13 cell B8 - Monthly Payment</t>
      </text>
    </comment>
    <comment ref="F45" authorId="0" shapeId="0">
      <text>
        <t>Calculated: Current Balance x Interest Rate</t>
      </text>
    </comment>
    <comment ref="G45" authorId="0" shapeId="0">
      <text>
        <t>Calculated: MIN(Balance, (Payment*12 - Interest))</t>
      </text>
    </comment>
    <comment ref="C46" authorId="0" shapeId="0">
      <text>
        <t>Links to: _Paccar_14 cell B6 - Current Balance</t>
      </text>
    </comment>
    <comment ref="D46" authorId="0" shapeId="0">
      <text>
        <t>Links to: _Paccar_14 cell B7 - Annual Rate</t>
      </text>
    </comment>
    <comment ref="E46" authorId="0" shapeId="0">
      <text>
        <t>Links to: _Paccar_14 cell B8 - Monthly Payment</t>
      </text>
    </comment>
    <comment ref="F46" authorId="0" shapeId="0">
      <text>
        <t>Calculated: Current Balance x Interest Rate</t>
      </text>
    </comment>
    <comment ref="G46" authorId="0" shapeId="0">
      <text>
        <t>Calculated: MIN(Balance, (Payment*12 - Interest))</t>
      </text>
    </comment>
    <comment ref="C47" authorId="0" shapeId="0">
      <text>
        <t>Links to: _Paccar_15 cell B6 - Current Balance</t>
      </text>
    </comment>
    <comment ref="D47" authorId="0" shapeId="0">
      <text>
        <t>Links to: _Paccar_15 cell B7 - Annual Rate</t>
      </text>
    </comment>
    <comment ref="E47" authorId="0" shapeId="0">
      <text>
        <t>Links to: _Paccar_15 cell B8 - Monthly Payment</t>
      </text>
    </comment>
    <comment ref="F47" authorId="0" shapeId="0">
      <text>
        <t>Calculated: Current Balance x Interest Rate</t>
      </text>
    </comment>
    <comment ref="G47" authorId="0" shapeId="0">
      <text>
        <t>Calculated: MIN(Balance, (Payment*12 - Interest))</t>
      </text>
    </comment>
    <comment ref="C48" authorId="0" shapeId="0">
      <text>
        <t>Links to: _Paccar_16 cell B6 - Current Balance</t>
      </text>
    </comment>
    <comment ref="D48" authorId="0" shapeId="0">
      <text>
        <t>Links to: _Paccar_16 cell B7 - Annual Rate</t>
      </text>
    </comment>
    <comment ref="E48" authorId="0" shapeId="0">
      <text>
        <t>Links to: _Paccar_16 cell B8 - Monthly Payment</t>
      </text>
    </comment>
    <comment ref="F48" authorId="0" shapeId="0">
      <text>
        <t>Calculated: Current Balance x Interest Rate</t>
      </text>
    </comment>
    <comment ref="G48" authorId="0" shapeId="0">
      <text>
        <t>Calculated: MIN(Balance, (Payment*12 - Interest))</t>
      </text>
    </comment>
    <comment ref="C49" authorId="0" shapeId="0">
      <text>
        <t>Links to: _Paccar_17 cell B6 - Current Balance</t>
      </text>
    </comment>
    <comment ref="D49" authorId="0" shapeId="0">
      <text>
        <t>Links to: _Paccar_17 cell B7 - Annual Rate</t>
      </text>
    </comment>
    <comment ref="E49" authorId="0" shapeId="0">
      <text>
        <t>Links to: _Paccar_17 cell B8 - Monthly Payment</t>
      </text>
    </comment>
    <comment ref="F49" authorId="0" shapeId="0">
      <text>
        <t>Calculated: Current Balance x Interest Rate</t>
      </text>
    </comment>
    <comment ref="G49" authorId="0" shapeId="0">
      <text>
        <t>Calculated: MIN(Balance, (Payment*12 - Interest))</t>
      </text>
    </comment>
    <comment ref="C50" authorId="0" shapeId="0">
      <text>
        <t>Links to: _Paccar_18 cell B6 - Current Balance</t>
      </text>
    </comment>
    <comment ref="D50" authorId="0" shapeId="0">
      <text>
        <t>Links to: _Paccar_18 cell B7 - Annual Rate</t>
      </text>
    </comment>
    <comment ref="E50" authorId="0" shapeId="0">
      <text>
        <t>Links to: _Paccar_18 cell B8 - Monthly Payment</t>
      </text>
    </comment>
    <comment ref="F50" authorId="0" shapeId="0">
      <text>
        <t>Calculated: Current Balance x Interest Rate</t>
      </text>
    </comment>
    <comment ref="G50" authorId="0" shapeId="0">
      <text>
        <t>Calculated: MIN(Balance, (Payment*12 - Interest))</t>
      </text>
    </comment>
    <comment ref="C51" authorId="0" shapeId="0">
      <text>
        <t>Links to: _Paccar_19 cell B6 - Current Balance</t>
      </text>
    </comment>
    <comment ref="D51" authorId="0" shapeId="0">
      <text>
        <t>Links to: _Paccar_19 cell B7 - Annual Rate</t>
      </text>
    </comment>
    <comment ref="E51" authorId="0" shapeId="0">
      <text>
        <t>Links to: _Paccar_19 cell B8 - Monthly Payment</t>
      </text>
    </comment>
    <comment ref="F51" authorId="0" shapeId="0">
      <text>
        <t>Calculated: Current Balance x Interest Rate</t>
      </text>
    </comment>
    <comment ref="G51" authorId="0" shapeId="0">
      <text>
        <t>Calculated: MIN(Balance, (Payment*12 - Interest))</t>
      </text>
    </comment>
    <comment ref="C52" authorId="0" shapeId="0">
      <text>
        <t>Links to: _Paccar_20 cell B6 - Current Balance</t>
      </text>
    </comment>
    <comment ref="D52" authorId="0" shapeId="0">
      <text>
        <t>Links to: _Paccar_20 cell B7 - Annual Rate</t>
      </text>
    </comment>
    <comment ref="E52" authorId="0" shapeId="0">
      <text>
        <t>Links to: _Paccar_20 cell B8 - Monthly Payment</t>
      </text>
    </comment>
    <comment ref="F52" authorId="0" shapeId="0">
      <text>
        <t>Calculated: Current Balance x Interest Rate</t>
      </text>
    </comment>
    <comment ref="G52" authorId="0" shapeId="0">
      <text>
        <t>Calculated: MIN(Balance, (Payment*12 - Interest))</t>
      </text>
    </comment>
    <comment ref="C53" authorId="0" shapeId="0">
      <text>
        <t>Links to: _Paccar_21 cell B6 - Current Balance</t>
      </text>
    </comment>
    <comment ref="D53" authorId="0" shapeId="0">
      <text>
        <t>Links to: _Paccar_21 cell B7 - Annual Rate</t>
      </text>
    </comment>
    <comment ref="E53" authorId="0" shapeId="0">
      <text>
        <t>Links to: _Paccar_21 cell B8 - Monthly Payment</t>
      </text>
    </comment>
    <comment ref="F53" authorId="0" shapeId="0">
      <text>
        <t>Calculated: Current Balance x Interest Rate</t>
      </text>
    </comment>
    <comment ref="G53" authorId="0" shapeId="0">
      <text>
        <t>Calculated: MIN(Balance, (Payment*12 - Interest))</t>
      </text>
    </comment>
    <comment ref="C54" authorId="0" shapeId="0">
      <text>
        <t>Links to: _Paccar_22 cell B6 - Current Balance</t>
      </text>
    </comment>
    <comment ref="D54" authorId="0" shapeId="0">
      <text>
        <t>Links to: _Paccar_22 cell B7 - Annual Rate</t>
      </text>
    </comment>
    <comment ref="E54" authorId="0" shapeId="0">
      <text>
        <t>Links to: _Paccar_22 cell B8 - Monthly Payment</t>
      </text>
    </comment>
    <comment ref="F54" authorId="0" shapeId="0">
      <text>
        <t>Calculated: Current Balance x Interest Rate</t>
      </text>
    </comment>
    <comment ref="G54" authorId="0" shapeId="0">
      <text>
        <t>Calculated: MIN(Balance, (Payment*12 - Interest))</t>
      </text>
    </comment>
    <comment ref="C55" authorId="0" shapeId="0">
      <text>
        <t>Sum of Paccar loan balances: rows 33-54</t>
      </text>
    </comment>
    <comment ref="C58" authorId="0" shapeId="0">
      <text>
        <t>Links to: _Wells_1 cell B6 - Current Balance</t>
      </text>
    </comment>
    <comment ref="D58" authorId="0" shapeId="0">
      <text>
        <t>Links to: _Wells_1 cell B7 - Annual Rate</t>
      </text>
    </comment>
    <comment ref="E58" authorId="0" shapeId="0">
      <text>
        <t>Links to: _Wells_1 cell B8 - Monthly Payment</t>
      </text>
    </comment>
    <comment ref="F58" authorId="0" shapeId="0">
      <text>
        <t>Calculated: Current Balance x Interest Rate</t>
      </text>
    </comment>
    <comment ref="G58" authorId="0" shapeId="0">
      <text>
        <t>Calculated: MIN(Balance, (Payment*12 - Interest))</t>
      </text>
    </comment>
    <comment ref="C59" authorId="0" shapeId="0">
      <text>
        <t>Links to: _Wells_2 cell B6 - Current Balance</t>
      </text>
    </comment>
    <comment ref="D59" authorId="0" shapeId="0">
      <text>
        <t>Links to: _Wells_2 cell B7 - Annual Rate</t>
      </text>
    </comment>
    <comment ref="E59" authorId="0" shapeId="0">
      <text>
        <t>Links to: _Wells_2 cell B8 - Monthly Payment</t>
      </text>
    </comment>
    <comment ref="F59" authorId="0" shapeId="0">
      <text>
        <t>Calculated: Current Balance x Interest Rate</t>
      </text>
    </comment>
    <comment ref="G59" authorId="0" shapeId="0">
      <text>
        <t>Calculated: MIN(Balance, (Payment*12 - Interest))</t>
      </text>
    </comment>
    <comment ref="C60" authorId="0" shapeId="0">
      <text>
        <t>Links to: _Wells_3 cell B6 - Current Balance</t>
      </text>
    </comment>
    <comment ref="D60" authorId="0" shapeId="0">
      <text>
        <t>Links to: _Wells_3 cell B7 - Annual Rate</t>
      </text>
    </comment>
    <comment ref="E60" authorId="0" shapeId="0">
      <text>
        <t>Links to: _Wells_3 cell B8 - Monthly Payment</t>
      </text>
    </comment>
    <comment ref="F60" authorId="0" shapeId="0">
      <text>
        <t>Calculated: Current Balance x Interest Rate</t>
      </text>
    </comment>
    <comment ref="G60" authorId="0" shapeId="0">
      <text>
        <t>Calculated: MIN(Balance, (Payment*12 - Interest))</t>
      </text>
    </comment>
    <comment ref="C61" authorId="0" shapeId="0">
      <text>
        <t>Sum of Wells Fargo loan balances: rows 58-60</t>
      </text>
    </comment>
    <comment ref="C64" authorId="0" shapeId="0">
      <text>
        <t>Links to: _Huntington_1 cell B6 - Current Balance</t>
      </text>
    </comment>
    <comment ref="D64" authorId="0" shapeId="0">
      <text>
        <t>Links to: _Huntington_1 cell B7 - Annual Rate</t>
      </text>
    </comment>
    <comment ref="E64" authorId="0" shapeId="0">
      <text>
        <t>Links to: _Huntington_1 cell B8 - Monthly Payment</t>
      </text>
    </comment>
    <comment ref="F64" authorId="0" shapeId="0">
      <text>
        <t>Calculated: Current Balance x Interest Rate</t>
      </text>
    </comment>
    <comment ref="G64" authorId="0" shapeId="0">
      <text>
        <t>Calculated: MIN(Balance, (Payment*12 - Interest))</t>
      </text>
    </comment>
    <comment ref="C65" authorId="0" shapeId="0">
      <text>
        <t>Links to: _Huntington_2 cell B6 - Current Balance</t>
      </text>
    </comment>
    <comment ref="D65" authorId="0" shapeId="0">
      <text>
        <t>Links to: _Huntington_2 cell B7 - Annual Rate</t>
      </text>
    </comment>
    <comment ref="E65" authorId="0" shapeId="0">
      <text>
        <t>Links to: _Huntington_2 cell B8 - Monthly Payment</t>
      </text>
    </comment>
    <comment ref="F65" authorId="0" shapeId="0">
      <text>
        <t>Calculated: Current Balance x Interest Rate</t>
      </text>
    </comment>
    <comment ref="G65" authorId="0" shapeId="0">
      <text>
        <t>Calculated: MIN(Balance, (Payment*12 - Interest))</t>
      </text>
    </comment>
    <comment ref="C66" authorId="0" shapeId="0">
      <text>
        <t>Links to: _Huntington_3 cell B6 - Current Balance</t>
      </text>
    </comment>
    <comment ref="D66" authorId="0" shapeId="0">
      <text>
        <t>Links to: _Huntington_3 cell B7 - Annual Rate</t>
      </text>
    </comment>
    <comment ref="E66" authorId="0" shapeId="0">
      <text>
        <t>Links to: _Huntington_3 cell B8 - Monthly Payment</t>
      </text>
    </comment>
    <comment ref="F66" authorId="0" shapeId="0">
      <text>
        <t>Calculated: Current Balance x Interest Rate</t>
      </text>
    </comment>
    <comment ref="G66" authorId="0" shapeId="0">
      <text>
        <t>Calculated: MIN(Balance, (Payment*12 - Interest))</t>
      </text>
    </comment>
    <comment ref="C67" authorId="0" shapeId="0">
      <text>
        <t>Links to: _Huntington_4 cell B6 - Current Balance</t>
      </text>
    </comment>
    <comment ref="D67" authorId="0" shapeId="0">
      <text>
        <t>Links to: _Huntington_4 cell B7 - Annual Rate</t>
      </text>
    </comment>
    <comment ref="E67" authorId="0" shapeId="0">
      <text>
        <t>Links to: _Huntington_4 cell B8 - Monthly Payment</t>
      </text>
    </comment>
    <comment ref="F67" authorId="0" shapeId="0">
      <text>
        <t>Calculated: Current Balance x Interest Rate</t>
      </text>
    </comment>
    <comment ref="G67" authorId="0" shapeId="0">
      <text>
        <t>Calculated: MIN(Balance, (Payment*12 - Interest))</t>
      </text>
    </comment>
    <comment ref="C68" authorId="0" shapeId="0">
      <text>
        <t>Links to: _Huntington_5 cell B6 - Current Balance</t>
      </text>
    </comment>
    <comment ref="D68" authorId="0" shapeId="0">
      <text>
        <t>Links to: _Huntington_5 cell B7 - Annual Rate</t>
      </text>
    </comment>
    <comment ref="E68" authorId="0" shapeId="0">
      <text>
        <t>Links to: _Huntington_5 cell B8 - Monthly Payment</t>
      </text>
    </comment>
    <comment ref="F68" authorId="0" shapeId="0">
      <text>
        <t>Calculated: Current Balance x Interest Rate</t>
      </text>
    </comment>
    <comment ref="G68" authorId="0" shapeId="0">
      <text>
        <t>Calculated: MIN(Balance, (Payment*12 - Interest))</t>
      </text>
    </comment>
    <comment ref="C69" authorId="0" shapeId="0">
      <text>
        <t>Sum of Huntington loan balances: rows 64-68</t>
      </text>
    </comment>
    <comment ref="C72" authorId="0" shapeId="0">
      <text>
        <t>Links to: _Ascentium_1 cell B6 - Current Balance</t>
      </text>
    </comment>
    <comment ref="D72" authorId="0" shapeId="0">
      <text>
        <t>Links to: _Ascentium_1 cell B7 - Annual Rate</t>
      </text>
    </comment>
    <comment ref="E72" authorId="0" shapeId="0">
      <text>
        <t>Links to: _Ascentium_1 cell B8 - Monthly Payment</t>
      </text>
    </comment>
    <comment ref="F72" authorId="0" shapeId="0">
      <text>
        <t>Calculated: Current Balance x Interest Rate</t>
      </text>
    </comment>
    <comment ref="G72" authorId="0" shapeId="0">
      <text>
        <t>Calculated: MIN(Balance, (Payment*12 - Interest))</t>
      </text>
    </comment>
    <comment ref="C73" authorId="0" shapeId="0">
      <text>
        <t>Links to: _Ascentium_2 cell B6 - Current Balance</t>
      </text>
    </comment>
    <comment ref="D73" authorId="0" shapeId="0">
      <text>
        <t>Links to: _Ascentium_2 cell B7 - Annual Rate</t>
      </text>
    </comment>
    <comment ref="E73" authorId="0" shapeId="0">
      <text>
        <t>Links to: _Ascentium_2 cell B8 - Monthly Payment</t>
      </text>
    </comment>
    <comment ref="F73" authorId="0" shapeId="0">
      <text>
        <t>Calculated: Current Balance x Interest Rate</t>
      </text>
    </comment>
    <comment ref="G73" authorId="0" shapeId="0">
      <text>
        <t>Calculated: MIN(Balance, (Payment*12 - Interest))</t>
      </text>
    </comment>
    <comment ref="C74" authorId="0" shapeId="0">
      <text>
        <t>Sum of Ascentium loan balances: rows 72-73</t>
      </text>
    </comment>
    <comment ref="C77" authorId="0" shapeId="0">
      <text>
        <t>Links to: _Amur_1 cell B6 - Current Balance</t>
      </text>
    </comment>
    <comment ref="D77" authorId="0" shapeId="0">
      <text>
        <t>Links to: _Amur_1 cell B7 - Annual Rate</t>
      </text>
    </comment>
    <comment ref="E77" authorId="0" shapeId="0">
      <text>
        <t>Links to: _Amur_1 cell B8 - Monthly Payment</t>
      </text>
    </comment>
    <comment ref="F77" authorId="0" shapeId="0">
      <text>
        <t>Calculated: Current Balance x Interest Rate</t>
      </text>
    </comment>
    <comment ref="G77" authorId="0" shapeId="0">
      <text>
        <t>Calculated: MIN(Balance, (Payment*12 - Interest))</t>
      </text>
    </comment>
    <comment ref="C78" authorId="0" shapeId="0">
      <text>
        <t>Sum of Amur loan balances: rows 77-77</t>
      </text>
    </comment>
    <comment ref="C81" authorId="0" shapeId="0">
      <text>
        <t>Links to: _Daimler_1 cell B6 - Current Balance</t>
      </text>
    </comment>
    <comment ref="D81" authorId="0" shapeId="0">
      <text>
        <t>Links to: _Daimler_1 cell B7 - Annual Rate</t>
      </text>
    </comment>
    <comment ref="E81" authorId="0" shapeId="0">
      <text>
        <t>Links to: _Daimler_1 cell B8 - Monthly Payment</t>
      </text>
    </comment>
    <comment ref="F81" authorId="0" shapeId="0">
      <text>
        <t>Calculated: Current Balance x Interest Rate</t>
      </text>
    </comment>
    <comment ref="G81" authorId="0" shapeId="0">
      <text>
        <t>Calculated: MIN(Balance, (Payment*12 - Interest))</t>
      </text>
    </comment>
    <comment ref="C82" authorId="0" shapeId="0">
      <text>
        <t>Sum of Daimler loan balances: rows 81-81</t>
      </text>
    </comment>
    <comment ref="C85" authorId="0" shapeId="0">
      <text>
        <t>Links to: _JXFinancial_1 cell B6 - Current Balance</t>
      </text>
    </comment>
    <comment ref="D85" authorId="0" shapeId="0">
      <text>
        <t>Links to: _JXFinancial_1 cell B7 - Annual Rate</t>
      </text>
    </comment>
    <comment ref="E85" authorId="0" shapeId="0">
      <text>
        <t>Links to: _JXFinancial_1 cell B8 - Monthly Payment</t>
      </text>
    </comment>
    <comment ref="F85" authorId="0" shapeId="0">
      <text>
        <t>Calculated: Current Balance x Interest Rate</t>
      </text>
    </comment>
    <comment ref="G85" authorId="0" shapeId="0">
      <text>
        <t>Calculated: MIN(Balance, (Payment*12 - Interest))</t>
      </text>
    </comment>
    <comment ref="C86" authorId="0" shapeId="0">
      <text>
        <t>Sum of JX Financial loan balances: rows 85-85</t>
      </text>
    </comment>
    <comment ref="C89" authorId="0" shapeId="0">
      <text>
        <t>Links to: _CCG_1 cell B6 - Current Balance</t>
      </text>
    </comment>
    <comment ref="D89" authorId="0" shapeId="0">
      <text>
        <t>Links to: _CCG_1 cell B7 - Annual Rate</t>
      </text>
    </comment>
    <comment ref="E89" authorId="0" shapeId="0">
      <text>
        <t>Links to: _CCG_1 cell B8 - Monthly Payment</t>
      </text>
    </comment>
    <comment ref="F89" authorId="0" shapeId="0">
      <text>
        <t>Calculated: Current Balance x Interest Rate</t>
      </text>
    </comment>
    <comment ref="G89" authorId="0" shapeId="0">
      <text>
        <t>Calculated: MIN(Balance, (Payment*12 - Interest))</t>
      </text>
    </comment>
    <comment ref="C90" authorId="0" shapeId="0">
      <text>
        <t>Links to: _CCG_2 cell B6 - Current Balance</t>
      </text>
    </comment>
    <comment ref="D90" authorId="0" shapeId="0">
      <text>
        <t>Links to: _CCG_2 cell B7 - Annual Rate</t>
      </text>
    </comment>
    <comment ref="E90" authorId="0" shapeId="0">
      <text>
        <t>Links to: _CCG_2 cell B8 - Monthly Payment</t>
      </text>
    </comment>
    <comment ref="F90" authorId="0" shapeId="0">
      <text>
        <t>Calculated: Current Balance x Interest Rate</t>
      </text>
    </comment>
    <comment ref="G90" authorId="0" shapeId="0">
      <text>
        <t>Calculated: MIN(Balance, (Payment*12 - Interest))</t>
      </text>
    </comment>
    <comment ref="C91" authorId="0" shapeId="0">
      <text>
        <t>Links to: _CCG_3 cell B6 - Current Balance</t>
      </text>
    </comment>
    <comment ref="D91" authorId="0" shapeId="0">
      <text>
        <t>Links to: _CCG_3 cell B7 - Annual Rate</t>
      </text>
    </comment>
    <comment ref="E91" authorId="0" shapeId="0">
      <text>
        <t>Links to: _CCG_3 cell B8 - Monthly Payment</t>
      </text>
    </comment>
    <comment ref="F91" authorId="0" shapeId="0">
      <text>
        <t>Calculated: Current Balance x Interest Rate</t>
      </text>
    </comment>
    <comment ref="G91" authorId="0" shapeId="0">
      <text>
        <t>Calculated: MIN(Balance, (Payment*12 - Interest))</t>
      </text>
    </comment>
    <comment ref="C92" authorId="0" shapeId="0">
      <text>
        <t>Sum of CCG loan balances: rows 89-91</t>
      </text>
    </comment>
    <comment ref="C95" authorId="0" shapeId="0">
      <text>
        <t>Links to: _FPG_1 cell B6 - Current Balance</t>
      </text>
    </comment>
    <comment ref="D95" authorId="0" shapeId="0">
      <text>
        <t>Links to: _FPG_1 cell B7 - Annual Rate</t>
      </text>
    </comment>
    <comment ref="E95" authorId="0" shapeId="0">
      <text>
        <t>Links to: _FPG_1 cell B8 - Monthly Payment</t>
      </text>
    </comment>
    <comment ref="F95" authorId="0" shapeId="0">
      <text>
        <t>Calculated: Current Balance x Interest Rate</t>
      </text>
    </comment>
    <comment ref="G95" authorId="0" shapeId="0">
      <text>
        <t>Calculated: MIN(Balance, (Payment*12 - Interest))</t>
      </text>
    </comment>
    <comment ref="C96" authorId="0" shapeId="0">
      <text>
        <t>Sum of FPG loan balances: rows 95-95</t>
      </text>
    </comment>
    <comment ref="C99" authorId="0" shapeId="0">
      <text>
        <t>Links to: _BoA_1 cell B6 - Current Balance</t>
      </text>
    </comment>
    <comment ref="D99" authorId="0" shapeId="0">
      <text>
        <t>Links to: _BoA_1 cell B7 - Annual Rate</t>
      </text>
    </comment>
    <comment ref="E99" authorId="0" shapeId="0">
      <text>
        <t>Links to: _BoA_1 cell B8 - Monthly Payment</t>
      </text>
    </comment>
    <comment ref="F99" authorId="0" shapeId="0">
      <text>
        <t>Calculated: Current Balance x Interest Rate</t>
      </text>
    </comment>
    <comment ref="G99" authorId="0" shapeId="0">
      <text>
        <t>Calculated: MIN(Balance, (Payment*12 - Interest))</t>
      </text>
    </comment>
    <comment ref="C100" authorId="0" shapeId="0">
      <text>
        <t>Sum of Bank of America loan balances: rows 99-99</t>
      </text>
    </comment>
    <comment ref="C103" authorId="0" shapeId="0">
      <text>
        <t>Links to: _IntlFin_1 cell B6 - Current Balance</t>
      </text>
    </comment>
    <comment ref="D103" authorId="0" shapeId="0">
      <text>
        <t>Links to: _IntlFin_1 cell B7 - Annual Rate</t>
      </text>
    </comment>
    <comment ref="E103" authorId="0" shapeId="0">
      <text>
        <t>Links to: _IntlFin_1 cell B8 - Monthly Payment</t>
      </text>
    </comment>
    <comment ref="F103" authorId="0" shapeId="0">
      <text>
        <t>Calculated: Current Balance x Interest Rate</t>
      </text>
    </comment>
    <comment ref="G103" authorId="0" shapeId="0">
      <text>
        <t>Calculated: MIN(Balance, (Payment*12 - Interest))</t>
      </text>
    </comment>
    <comment ref="C104" authorId="0" shapeId="0">
      <text>
        <t>Links to: _IntlFin_2 cell B6 - Current Balance</t>
      </text>
    </comment>
    <comment ref="D104" authorId="0" shapeId="0">
      <text>
        <t>Links to: _IntlFin_2 cell B7 - Annual Rate</t>
      </text>
    </comment>
    <comment ref="E104" authorId="0" shapeId="0">
      <text>
        <t>Links to: _IntlFin_2 cell B8 - Monthly Payment</t>
      </text>
    </comment>
    <comment ref="F104" authorId="0" shapeId="0">
      <text>
        <t>Calculated: Current Balance x Interest Rate</t>
      </text>
    </comment>
    <comment ref="G104" authorId="0" shapeId="0">
      <text>
        <t>Calculated: MIN(Balance, (Payment*12 - Interest))</t>
      </text>
    </comment>
    <comment ref="C105" authorId="0" shapeId="0">
      <text>
        <t>Sum of International Financial loan balances: rows 103-104</t>
      </text>
    </comment>
    <comment ref="C108" authorId="0" shapeId="0">
      <text>
        <t>Links to: _Mercedes_1 cell B6 - Current Balance</t>
      </text>
    </comment>
    <comment ref="D108" authorId="0" shapeId="0">
      <text>
        <t>Links to: _Mercedes_1 cell B7 - Annual Rate</t>
      </text>
    </comment>
    <comment ref="E108" authorId="0" shapeId="0">
      <text>
        <t>Links to: _Mercedes_1 cell B8 - Monthly Payment</t>
      </text>
    </comment>
    <comment ref="F108" authorId="0" shapeId="0">
      <text>
        <t>Calculated: Current Balance x Interest Rate</t>
      </text>
    </comment>
    <comment ref="G108" authorId="0" shapeId="0">
      <text>
        <t>Calculated: MIN(Balance, (Payment*12 - Interest))</t>
      </text>
    </comment>
    <comment ref="C109" authorId="0" shapeId="0">
      <text>
        <t>Sum of Mercedes loan balances: rows 108-108</t>
      </text>
    </comment>
    <comment ref="C112" authorId="0" shapeId="0">
      <text>
        <t>Links to: _GMFinancial_1 cell B6 - Current Balance</t>
      </text>
    </comment>
    <comment ref="D112" authorId="0" shapeId="0">
      <text>
        <t>Links to: _GMFinancial_1 cell B7 - Annual Rate</t>
      </text>
    </comment>
    <comment ref="E112" authorId="0" shapeId="0">
      <text>
        <t>Links to: _GMFinancial_1 cell B8 - Monthly Payment</t>
      </text>
    </comment>
    <comment ref="F112" authorId="0" shapeId="0">
      <text>
        <t>Calculated: Current Balance x Interest Rate</t>
      </text>
    </comment>
    <comment ref="G112" authorId="0" shapeId="0">
      <text>
        <t>Calculated: MIN(Balance, (Payment*12 - Interest))</t>
      </text>
    </comment>
    <comment ref="C113" authorId="0" shapeId="0">
      <text>
        <t>Sum of GM Financial loan balances: rows 112-112</t>
      </text>
    </comment>
    <comment ref="C116" authorId="0" shapeId="0">
      <text>
        <t>Links to: _FirstCommonwealth_1 cell B6 - Current Balance</t>
      </text>
    </comment>
    <comment ref="D116" authorId="0" shapeId="0">
      <text>
        <t>Links to: _FirstCommonwealth_1 cell B7 - Annual Rate</t>
      </text>
    </comment>
    <comment ref="E116" authorId="0" shapeId="0">
      <text>
        <t>Links to: _FirstCommonwealth_1 cell B8 - Monthly Payment</t>
      </text>
    </comment>
    <comment ref="F116" authorId="0" shapeId="0">
      <text>
        <t>Calculated: Current Balance x Interest Rate</t>
      </text>
    </comment>
    <comment ref="G116" authorId="0" shapeId="0">
      <text>
        <t>Calculated: MIN(Balance, (Payment*12 - Interest))</t>
      </text>
    </comment>
    <comment ref="C117" authorId="0" shapeId="0">
      <text>
        <t>Sum of First Commonwealth loan balances: rows 116-116</t>
      </text>
    </comment>
    <comment ref="C120" authorId="0" shapeId="0">
      <text>
        <t>Links to: _SignatureBank_1 cell B6 - Current Balance</t>
      </text>
    </comment>
    <comment ref="D120" authorId="0" shapeId="0">
      <text>
        <t>Links to: _SignatureBank_1 cell B7 - Annual Rate</t>
      </text>
    </comment>
    <comment ref="E120" authorId="0" shapeId="0">
      <text>
        <t>Links to: _SignatureBank_1 cell B8 - Monthly Payment</t>
      </text>
    </comment>
    <comment ref="F120" authorId="0" shapeId="0">
      <text>
        <t>Calculated: Current Balance x Interest Rate</t>
      </text>
    </comment>
    <comment ref="G120" authorId="0" shapeId="0">
      <text>
        <t>Calculated: MIN(Balance, (Payment*12 - Interest))</t>
      </text>
    </comment>
    <comment ref="C121" authorId="0" shapeId="0">
      <text>
        <t>Sum of Signature Bank loan balances: rows 120-120</t>
      </text>
    </comment>
    <comment ref="C124" authorId="0" shapeId="0">
      <text>
        <t>Links to: _NBHBank_1 cell B6 - Current Balance</t>
      </text>
    </comment>
    <comment ref="D124" authorId="0" shapeId="0">
      <text>
        <t>Links to: _NBHBank_1 cell B7 - Annual Rate</t>
      </text>
    </comment>
    <comment ref="E124" authorId="0" shapeId="0">
      <text>
        <t>Links to: _NBHBank_1 cell B8 - Monthly Payment</t>
      </text>
    </comment>
    <comment ref="F124" authorId="0" shapeId="0">
      <text>
        <t>Calculated: Current Balance x Interest Rate</t>
      </text>
    </comment>
    <comment ref="G124" authorId="0" shapeId="0">
      <text>
        <t>Calculated: MIN(Balance, (Payment*12 - Interest))</t>
      </text>
    </comment>
    <comment ref="C125" authorId="0" shapeId="0">
      <text>
        <t>Sum of NBH Bank loan balances: rows 124-124</t>
      </text>
    </comment>
    <comment ref="C128" authorId="0" shapeId="0">
      <text>
        <t>Links to: _PeoplesBank_1 cell B6 - Current Balance</t>
      </text>
    </comment>
    <comment ref="D128" authorId="0" shapeId="0">
      <text>
        <t>Links to: _PeoplesBank_1 cell B7 - Annual Rate</t>
      </text>
    </comment>
    <comment ref="E128" authorId="0" shapeId="0">
      <text>
        <t>Links to: _PeoplesBank_1 cell B8 - Monthly Payment</t>
      </text>
    </comment>
    <comment ref="F128" authorId="0" shapeId="0">
      <text>
        <t>Calculated: Current Balance x Interest Rate</t>
      </text>
    </comment>
    <comment ref="G128" authorId="0" shapeId="0">
      <text>
        <t>Calculated: MIN(Balance, (Payment*12 - Interest))</t>
      </text>
    </comment>
    <comment ref="C129" authorId="0" shapeId="0">
      <text>
        <t>Sum of Peoples Bank loan balances: rows 128-128</t>
      </text>
    </comment>
    <comment ref="C132" authorId="0" shapeId="0">
      <text>
        <t>Links to: _Peapack_1 cell B6 - Current Balance</t>
      </text>
    </comment>
    <comment ref="D132" authorId="0" shapeId="0">
      <text>
        <t>Links to: _Peapack_1 cell B7 - Annual Rate</t>
      </text>
    </comment>
    <comment ref="E132" authorId="0" shapeId="0">
      <text>
        <t>Links to: _Peapack_1 cell B8 - Monthly Payment</t>
      </text>
    </comment>
    <comment ref="F132" authorId="0" shapeId="0">
      <text>
        <t>Calculated: Current Balance x Interest Rate</t>
      </text>
    </comment>
    <comment ref="G132" authorId="0" shapeId="0">
      <text>
        <t>Calculated: MIN(Balance, (Payment*12 - Interest))</t>
      </text>
    </comment>
    <comment ref="C133" authorId="0" shapeId="0">
      <text>
        <t>Links to: _Peapack_2 cell B6 - Current Balance</t>
      </text>
    </comment>
    <comment ref="D133" authorId="0" shapeId="0">
      <text>
        <t>Links to: _Peapack_2 cell B7 - Annual Rate</t>
      </text>
    </comment>
    <comment ref="E133" authorId="0" shapeId="0">
      <text>
        <t>Links to: _Peapack_2 cell B8 - Monthly Payment</t>
      </text>
    </comment>
    <comment ref="F133" authorId="0" shapeId="0">
      <text>
        <t>Calculated: Current Balance x Interest Rate</t>
      </text>
    </comment>
    <comment ref="G133" authorId="0" shapeId="0">
      <text>
        <t>Calculated: MIN(Balance, (Payment*12 - Interest))</t>
      </text>
    </comment>
    <comment ref="C134" authorId="0" shapeId="0">
      <text>
        <t>Links to: _Peapack_3 cell B6 - Current Balance</t>
      </text>
    </comment>
    <comment ref="D134" authorId="0" shapeId="0">
      <text>
        <t>Links to: _Peapack_3 cell B7 - Annual Rate</t>
      </text>
    </comment>
    <comment ref="E134" authorId="0" shapeId="0">
      <text>
        <t>Links to: _Peapack_3 cell B8 - Monthly Payment</t>
      </text>
    </comment>
    <comment ref="F134" authorId="0" shapeId="0">
      <text>
        <t>Calculated: Current Balance x Interest Rate</t>
      </text>
    </comment>
    <comment ref="G134" authorId="0" shapeId="0">
      <text>
        <t>Calculated: MIN(Balance, (Payment*12 - Interest))</t>
      </text>
    </comment>
    <comment ref="C135" authorId="0" shapeId="0">
      <text>
        <t>Links to: _Peapack_4 cell B6 - Current Balance</t>
      </text>
    </comment>
    <comment ref="D135" authorId="0" shapeId="0">
      <text>
        <t>Links to: _Peapack_4 cell B7 - Annual Rate</t>
      </text>
    </comment>
    <comment ref="E135" authorId="0" shapeId="0">
      <text>
        <t>Links to: _Peapack_4 cell B8 - Monthly Payment</t>
      </text>
    </comment>
    <comment ref="F135" authorId="0" shapeId="0">
      <text>
        <t>Calculated: Current Balance x Interest Rate</t>
      </text>
    </comment>
    <comment ref="G135" authorId="0" shapeId="0">
      <text>
        <t>Calculated: MIN(Balance, (Payment*12 - Interest))</t>
      </text>
    </comment>
    <comment ref="C136" authorId="0" shapeId="0">
      <text>
        <t>Sum of Peapack loan balances: rows 132-135</t>
      </text>
    </comment>
    <comment ref="C139" authorId="0" shapeId="0">
      <text>
        <t>Links to: _TriState_1 cell B6 - Current Balance</t>
      </text>
    </comment>
    <comment ref="D139" authorId="0" shapeId="0">
      <text>
        <t>Links to: _TriState_1 cell B7 - Annual Rate</t>
      </text>
    </comment>
    <comment ref="E139" authorId="0" shapeId="0">
      <text>
        <t>Links to: _TriState_1 cell B8 - Monthly Payment</t>
      </text>
    </comment>
    <comment ref="F139" authorId="0" shapeId="0">
      <text>
        <t>Calculated: Current Balance x Interest Rate</t>
      </text>
    </comment>
    <comment ref="G139" authorId="0" shapeId="0">
      <text>
        <t>Calculated: MIN(Balance, (Payment*12 - Interest))</t>
      </text>
    </comment>
    <comment ref="C140" authorId="0" shapeId="0">
      <text>
        <t>Links to: _TriState_2 cell B6 - Current Balance</t>
      </text>
    </comment>
    <comment ref="D140" authorId="0" shapeId="0">
      <text>
        <t>Links to: _TriState_2 cell B7 - Annual Rate</t>
      </text>
    </comment>
    <comment ref="E140" authorId="0" shapeId="0">
      <text>
        <t>Links to: _TriState_2 cell B8 - Monthly Payment</t>
      </text>
    </comment>
    <comment ref="F140" authorId="0" shapeId="0">
      <text>
        <t>Calculated: Current Balance x Interest Rate</t>
      </text>
    </comment>
    <comment ref="G140" authorId="0" shapeId="0">
      <text>
        <t>Calculated: MIN(Balance, (Payment*12 - Interest))</t>
      </text>
    </comment>
    <comment ref="C141" authorId="0" shapeId="0">
      <text>
        <t>Links to: _TriState_3 cell B6 - Current Balance</t>
      </text>
    </comment>
    <comment ref="D141" authorId="0" shapeId="0">
      <text>
        <t>Links to: _TriState_3 cell B7 - Annual Rate</t>
      </text>
    </comment>
    <comment ref="E141" authorId="0" shapeId="0">
      <text>
        <t>Links to: _TriState_3 cell B8 - Monthly Payment</t>
      </text>
    </comment>
    <comment ref="F141" authorId="0" shapeId="0">
      <text>
        <t>Calculated: Current Balance x Interest Rate</t>
      </text>
    </comment>
    <comment ref="G141" authorId="0" shapeId="0">
      <text>
        <t>Calculated: MIN(Balance, (Payment*12 - Interest))</t>
      </text>
    </comment>
    <comment ref="C142" authorId="0" shapeId="0">
      <text>
        <t>Links to: _TriState_4 cell B6 - Current Balance</t>
      </text>
    </comment>
    <comment ref="D142" authorId="0" shapeId="0">
      <text>
        <t>Links to: _TriState_4 cell B7 - Annual Rate</t>
      </text>
    </comment>
    <comment ref="E142" authorId="0" shapeId="0">
      <text>
        <t>Links to: _TriState_4 cell B8 - Monthly Payment</t>
      </text>
    </comment>
    <comment ref="F142" authorId="0" shapeId="0">
      <text>
        <t>Calculated: Current Balance x Interest Rate</t>
      </text>
    </comment>
    <comment ref="G142" authorId="0" shapeId="0">
      <text>
        <t>Calculated: MIN(Balance, (Payment*12 - Interest))</t>
      </text>
    </comment>
    <comment ref="C143" authorId="0" shapeId="0">
      <text>
        <t>Links to: _TriState_5 cell B6 - Current Balance</t>
      </text>
    </comment>
    <comment ref="D143" authorId="0" shapeId="0">
      <text>
        <t>Links to: _TriState_5 cell B7 - Annual Rate</t>
      </text>
    </comment>
    <comment ref="E143" authorId="0" shapeId="0">
      <text>
        <t>Links to: _TriState_5 cell B8 - Monthly Payment</t>
      </text>
    </comment>
    <comment ref="F143" authorId="0" shapeId="0">
      <text>
        <t>Calculated: Current Balance x Interest Rate</t>
      </text>
    </comment>
    <comment ref="G143" authorId="0" shapeId="0">
      <text>
        <t>Calculated: MIN(Balance, (Payment*12 - Interest))</t>
      </text>
    </comment>
    <comment ref="C144" authorId="0" shapeId="0">
      <text>
        <t>Sum of TriState loan balances: rows 139-143</t>
      </text>
    </comment>
    <comment ref="C147" authorId="0" shapeId="0">
      <text>
        <t>Links to: _AtlanticUnion_1 cell B6 - Current Balance</t>
      </text>
    </comment>
    <comment ref="D147" authorId="0" shapeId="0">
      <text>
        <t>Links to: _AtlanticUnion_1 cell B7 - Annual Rate</t>
      </text>
    </comment>
    <comment ref="E147" authorId="0" shapeId="0">
      <text>
        <t>Links to: _AtlanticUnion_1 cell B8 - Monthly Payment</t>
      </text>
    </comment>
    <comment ref="F147" authorId="0" shapeId="0">
      <text>
        <t>Calculated: Current Balance x Interest Rate</t>
      </text>
    </comment>
    <comment ref="G147" authorId="0" shapeId="0">
      <text>
        <t>Calculated: MIN(Balance, (Payment*12 - Interest))</t>
      </text>
    </comment>
    <comment ref="C148" authorId="0" shapeId="0">
      <text>
        <t>Links to: _AtlanticUnion_2 cell B6 - Current Balance</t>
      </text>
    </comment>
    <comment ref="D148" authorId="0" shapeId="0">
      <text>
        <t>Links to: _AtlanticUnion_2 cell B7 - Annual Rate</t>
      </text>
    </comment>
    <comment ref="E148" authorId="0" shapeId="0">
      <text>
        <t>Links to: _AtlanticUnion_2 cell B8 - Monthly Payment</t>
      </text>
    </comment>
    <comment ref="F148" authorId="0" shapeId="0">
      <text>
        <t>Calculated: Current Balance x Interest Rate</t>
      </text>
    </comment>
    <comment ref="G148" authorId="0" shapeId="0">
      <text>
        <t>Calculated: MIN(Balance, (Payment*12 - Interest))</t>
      </text>
    </comment>
    <comment ref="C149" authorId="0" shapeId="0">
      <text>
        <t>Links to: _AtlanticUnion_3 cell B6 - Current Balance</t>
      </text>
    </comment>
    <comment ref="D149" authorId="0" shapeId="0">
      <text>
        <t>Links to: _AtlanticUnion_3 cell B7 - Annual Rate</t>
      </text>
    </comment>
    <comment ref="E149" authorId="0" shapeId="0">
      <text>
        <t>Links to: _AtlanticUnion_3 cell B8 - Monthly Payment</t>
      </text>
    </comment>
    <comment ref="F149" authorId="0" shapeId="0">
      <text>
        <t>Calculated: Current Balance x Interest Rate</t>
      </text>
    </comment>
    <comment ref="G149" authorId="0" shapeId="0">
      <text>
        <t>Calculated: MIN(Balance, (Payment*12 - Interest))</t>
      </text>
    </comment>
    <comment ref="C150" authorId="0" shapeId="0">
      <text>
        <t>Sum of Atlantic Union loan balances: rows 147-149</t>
      </text>
    </comment>
    <comment ref="C153" authorId="0" shapeId="0">
      <text>
        <t>Links to: _Balboa_1 cell B6 - Current Balance</t>
      </text>
    </comment>
    <comment ref="D153" authorId="0" shapeId="0">
      <text>
        <t>Links to: _Balboa_1 cell B7 - Annual Rate</t>
      </text>
    </comment>
    <comment ref="E153" authorId="0" shapeId="0">
      <text>
        <t>Links to: _Balboa_1 cell B8 - Monthly Payment</t>
      </text>
    </comment>
    <comment ref="F153" authorId="0" shapeId="0">
      <text>
        <t>Calculated: Current Balance x Interest Rate</t>
      </text>
    </comment>
    <comment ref="G153" authorId="0" shapeId="0">
      <text>
        <t>Calculated: MIN(Balance, (Payment*12 - Interest))</t>
      </text>
    </comment>
    <comment ref="C154" authorId="0" shapeId="0">
      <text>
        <t>Sum of Balboa loan balances: rows 153-153</t>
      </text>
    </comment>
    <comment ref="C157" authorId="0" shapeId="0">
      <text>
        <t>Links to: _Constellation_1 cell B12 - Current Balance</t>
      </text>
    </comment>
    <comment ref="D157" authorId="0" shapeId="0">
      <text>
        <t>Links to: _Constellation_1 cell B13 - Annual Rate</t>
      </text>
    </comment>
    <comment ref="E157" authorId="0" shapeId="0">
      <text>
        <t>Links to: _Constellation_1 cell B14 - Monthly Payment</t>
      </text>
    </comment>
    <comment ref="F157" authorId="0" shapeId="0">
      <text>
        <t>Calculated: Current Balance x Interest Rate</t>
      </text>
    </comment>
    <comment ref="G157" authorId="0" shapeId="0">
      <text>
        <t>Calculated: MIN(Balance, (Payment*12 - Interest))</t>
      </text>
    </comment>
    <comment ref="C158" authorId="0" shapeId="0">
      <text>
        <t>Links to: _Constellation_2 cell B12 - Current Balance</t>
      </text>
    </comment>
    <comment ref="D158" authorId="0" shapeId="0">
      <text>
        <t>Links to: _Constellation_2 cell B13 - Annual Rate</t>
      </text>
    </comment>
    <comment ref="E158" authorId="0" shapeId="0">
      <text>
        <t>Links to: _Constellation_2 cell B14 - Monthly Payment</t>
      </text>
    </comment>
    <comment ref="F158" authorId="0" shapeId="0">
      <text>
        <t>Calculated: Current Balance x Interest Rate</t>
      </text>
    </comment>
    <comment ref="G158" authorId="0" shapeId="0">
      <text>
        <t>Calculated: MIN(Balance, (Payment*12 - Interest))</t>
      </text>
    </comment>
    <comment ref="C159" authorId="0" shapeId="0">
      <text>
        <t>Sum of Constellation loan balances: rows 157-158</t>
      </text>
    </comment>
    <comment ref="C162" authorId="0" shapeId="0">
      <text>
        <t>Links to: _Commonwealth_1 cell B12 - Current Balance</t>
      </text>
    </comment>
    <comment ref="D162" authorId="0" shapeId="0">
      <text>
        <t>Links to: _Commonwealth_1 cell B13 - Annual Rate</t>
      </text>
    </comment>
    <comment ref="E162" authorId="0" shapeId="0">
      <text>
        <t>Links to: _Commonwealth_1 cell B14 - Monthly Payment</t>
      </text>
    </comment>
    <comment ref="F162" authorId="0" shapeId="0">
      <text>
        <t>Calculated: Current Balance x Interest Rate</t>
      </text>
    </comment>
    <comment ref="G162" authorId="0" shapeId="0">
      <text>
        <t>Calculated: MIN(Balance, (Payment*12 - Interest))</t>
      </text>
    </comment>
    <comment ref="C163" authorId="0" shapeId="0">
      <text>
        <t>Links to: _Commonwealth_2 cell B12 - Current Balance</t>
      </text>
    </comment>
    <comment ref="D163" authorId="0" shapeId="0">
      <text>
        <t>Links to: _Commonwealth_2 cell B13 - Annual Rate</t>
      </text>
    </comment>
    <comment ref="E163" authorId="0" shapeId="0">
      <text>
        <t>Links to: _Commonwealth_2 cell B14 - Monthly Payment</t>
      </text>
    </comment>
    <comment ref="F163" authorId="0" shapeId="0">
      <text>
        <t>Calculated: Current Balance x Interest Rate</t>
      </text>
    </comment>
    <comment ref="G163" authorId="0" shapeId="0">
      <text>
        <t>Calculated: MIN(Balance, (Payment*12 - Interest))</t>
      </text>
    </comment>
    <comment ref="C164" authorId="0" shapeId="0">
      <text>
        <t>Sum of Commonwealth loan balances: rows 162-163</t>
      </text>
    </comment>
    <comment ref="C167" authorId="0" shapeId="0">
      <text>
        <t>Links to: _WinWin_1 cell B12 - Current Balance</t>
      </text>
    </comment>
    <comment ref="D167" authorId="0" shapeId="0">
      <text>
        <t>Links to: _WinWin_1 cell B13 - Annual Rate</t>
      </text>
    </comment>
    <comment ref="E167" authorId="0" shapeId="0">
      <text>
        <t>Links to: _WinWin_1 cell B14 - Monthly Payment</t>
      </text>
    </comment>
    <comment ref="F167" authorId="0" shapeId="0">
      <text>
        <t>Calculated: Current Balance x Interest Rate</t>
      </text>
    </comment>
    <comment ref="G167" authorId="0" shapeId="0">
      <text>
        <t>Calculated: MIN(Balance, (Payment*12 - Interest))</t>
      </text>
    </comment>
    <comment ref="C168" authorId="0" shapeId="0">
      <text>
        <t>Links to: _WinWin_2 cell B12 - Current Balance</t>
      </text>
    </comment>
    <comment ref="D168" authorId="0" shapeId="0">
      <text>
        <t>Links to: _WinWin_2 cell B13 - Annual Rate</t>
      </text>
    </comment>
    <comment ref="E168" authorId="0" shapeId="0">
      <text>
        <t>Links to: _WinWin_2 cell B14 - Monthly Payment</t>
      </text>
    </comment>
    <comment ref="F168" authorId="0" shapeId="0">
      <text>
        <t>Calculated: Current Balance x Interest Rate</t>
      </text>
    </comment>
    <comment ref="G168" authorId="0" shapeId="0">
      <text>
        <t>Calculated: MIN(Balance, (Payment*12 - Interest))</t>
      </text>
    </comment>
    <comment ref="C169" authorId="0" shapeId="0">
      <text>
        <t>Sum of Win Win loan balances: rows 167-168</t>
      </text>
    </comment>
    <comment ref="C171" authorId="0" shapeId="0">
      <text>
        <t>Grand total of all 84 loans. Source: loans.md</t>
      </text>
    </comment>
    <comment ref="C175" authorId="0" shapeId="0">
      <text>
        <t>Check: DS Grand Total minus expected $49,860,215 from loans.md. Must be 0.</t>
      </text>
    </comment>
    <comment ref="C176" authorId="0" shapeId="0">
      <text>
        <t>Check: must be 0. Requires Balance Sheet integration.</t>
      </text>
    </comment>
  </commentList>
</comments>
</file>

<file path=xl/comments/comment50.xml><?xml version="1.0" encoding="utf-8"?>
<comments xmlns="http://schemas.openxmlformats.org/spreadsheetml/2006/main">
  <authors>
    <author>Model Builder</author>
  </authors>
  <commentList>
    <comment ref="B2" authorId="0" shapeId="0">
      <text>
        <t>Source: Meiborg_Debt_Schedule_202512.xlsx - Loan 54
Extracted: 2026-05-14</t>
      </text>
    </comment>
    <comment ref="B6" authorId="0" shapeId="0">
      <text>
        <t>Source: Meiborg_Debt_Schedule_202512.xlsx - Loan 54
Original loan amount at origination.</t>
      </text>
    </comment>
    <comment ref="B7" authorId="0" shapeId="0">
      <text>
        <t>Source: Meiborg_Debt_Schedule_202512.xlsx - Loan 54
Balance as of 12/31/2025.</t>
      </text>
    </comment>
    <comment ref="B8" authorId="0" shapeId="0">
      <text>
        <t>Source: Meiborg_Debt_Schedule_202512.xlsx - Loan 54
Annual interest rate.</t>
      </text>
    </comment>
    <comment ref="B9" authorId="0" shapeId="0">
      <text>
        <t>Source: Meiborg_Debt_Schedule_202512.xlsx - Loan 54
Fixed monthly payment amount.</t>
      </text>
    </comment>
    <comment ref="B13" authorId="0" shapeId="0">
      <text>
        <t>Loan: CCG - Commercial Credit Group, AMORTIZING. Source: Meiborg_Debt_Schedule_202512.xlsx - Loan 54</t>
      </text>
    </comment>
    <comment ref="C24" authorId="0" shapeId="0">
      <text>
        <t>Loan: CCG - Commercial Credit Group, AMORTIZING. Source: Meiborg_Debt_Schedule_202512.xlsx - Loan 54
Opening balance from current balance as of 12/31/2025.</t>
      </text>
    </comment>
    <comment ref="D24" authorId="0" shapeId="0">
      <text>
        <t>Loan: CCG - Commercial Credit Group, AMORTIZING. Interest = Opening * Annual Rate / 12.</t>
      </text>
    </comment>
    <comment ref="E24" authorId="0" shapeId="0">
      <text>
        <t>Loan: CCG - Commercial Credit Group, AMORTIZING. Principal = MIN(Opening, Payment - Interest).</t>
      </text>
    </comment>
    <comment ref="F24" authorId="0" shapeId="0">
      <text>
        <t>Loan: CCG - Commercial Credit Group, AMORTIZING. Closing = Opening - Principal.</t>
      </text>
    </comment>
    <comment ref="C25" authorId="0" shapeId="0">
      <text>
        <t>Loan: CCG - Commercial Credit Group, AMORTIZING. Prior month closing balance.</t>
      </text>
    </comment>
    <comment ref="D25" authorId="0" shapeId="0">
      <text>
        <t>Loan: CCG - Commercial Credit Group, AMORTIZING. Interest = Opening * Annual Rate / 12.</t>
      </text>
    </comment>
    <comment ref="E25" authorId="0" shapeId="0">
      <text>
        <t>Loan: CCG - Commercial Credit Group, AMORTIZING. Principal = MIN(Opening, Payment - Interest).</t>
      </text>
    </comment>
    <comment ref="F25" authorId="0" shapeId="0">
      <text>
        <t>Loan: CCG - Commercial Credit Group, AMORTIZING. Closing = Opening - Principal.</t>
      </text>
    </comment>
    <comment ref="C26" authorId="0" shapeId="0">
      <text>
        <t>Loan: CCG - Commercial Credit Group, AMORTIZING. Prior month closing balance.</t>
      </text>
    </comment>
    <comment ref="D26" authorId="0" shapeId="0">
      <text>
        <t>Loan: CCG - Commercial Credit Group, AMORTIZING. Interest = Opening * Annual Rate / 12.</t>
      </text>
    </comment>
    <comment ref="E26" authorId="0" shapeId="0">
      <text>
        <t>Loan: CCG - Commercial Credit Group, AMORTIZING. Principal = MIN(Opening, Payment - Interest).</t>
      </text>
    </comment>
    <comment ref="F26" authorId="0" shapeId="0">
      <text>
        <t>Loan: CCG - Commercial Credit Group, AMORTIZING. Closing = Opening - Principal.</t>
      </text>
    </comment>
    <comment ref="C27" authorId="0" shapeId="0">
      <text>
        <t>Loan: CCG - Commercial Credit Group, AMORTIZING. Prior month closing balance.</t>
      </text>
    </comment>
    <comment ref="D27" authorId="0" shapeId="0">
      <text>
        <t>Loan: CCG - Commercial Credit Group, AMORTIZING. Interest = Opening * Annual Rate / 12.</t>
      </text>
    </comment>
    <comment ref="E27" authorId="0" shapeId="0">
      <text>
        <t>Loan: CCG - Commercial Credit Group, AMORTIZING. Principal = MIN(Opening, Payment - Interest).</t>
      </text>
    </comment>
    <comment ref="F27" authorId="0" shapeId="0">
      <text>
        <t>Loan: CCG - Commercial Credit Group, AMORTIZING. Closing = Opening - Principal.</t>
      </text>
    </comment>
    <comment ref="C28" authorId="0" shapeId="0">
      <text>
        <t>Loan: CCG - Commercial Credit Group, AMORTIZING. Prior month closing balance.</t>
      </text>
    </comment>
    <comment ref="D28" authorId="0" shapeId="0">
      <text>
        <t>Loan: CCG - Commercial Credit Group, AMORTIZING. Interest = Opening * Annual Rate / 12.</t>
      </text>
    </comment>
    <comment ref="E28" authorId="0" shapeId="0">
      <text>
        <t>Loan: CCG - Commercial Credit Group, AMORTIZING. Principal = MIN(Opening, Payment - Interest).</t>
      </text>
    </comment>
    <comment ref="F28" authorId="0" shapeId="0">
      <text>
        <t>Loan: CCG - Commercial Credit Group, AMORTIZING. Closing = Opening - Principal.</t>
      </text>
    </comment>
    <comment ref="C29" authorId="0" shapeId="0">
      <text>
        <t>Loan: CCG - Commercial Credit Group, AMORTIZING. Prior month closing balance.</t>
      </text>
    </comment>
    <comment ref="D29" authorId="0" shapeId="0">
      <text>
        <t>Loan: CCG - Commercial Credit Group, AMORTIZING. Interest = Opening * Annual Rate / 12.</t>
      </text>
    </comment>
    <comment ref="E29" authorId="0" shapeId="0">
      <text>
        <t>Loan: CCG - Commercial Credit Group, AMORTIZING. Principal = MIN(Opening, Payment - Interest).</t>
      </text>
    </comment>
    <comment ref="F29" authorId="0" shapeId="0">
      <text>
        <t>Loan: CCG - Commercial Credit Group, AMORTIZING. Closing = Opening - Principal.</t>
      </text>
    </comment>
    <comment ref="C30" authorId="0" shapeId="0">
      <text>
        <t>Loan: CCG - Commercial Credit Group, AMORTIZING. Prior month closing balance.</t>
      </text>
    </comment>
    <comment ref="D30" authorId="0" shapeId="0">
      <text>
        <t>Loan: CCG - Commercial Credit Group, AMORTIZING. Interest = Opening * Annual Rate / 12.</t>
      </text>
    </comment>
    <comment ref="E30" authorId="0" shapeId="0">
      <text>
        <t>Loan: CCG - Commercial Credit Group, AMORTIZING. Principal = MIN(Opening, Payment - Interest).</t>
      </text>
    </comment>
    <comment ref="F30" authorId="0" shapeId="0">
      <text>
        <t>Loan: CCG - Commercial Credit Group, AMORTIZING. Closing = Opening - Principal.</t>
      </text>
    </comment>
    <comment ref="C31" authorId="0" shapeId="0">
      <text>
        <t>Loan: CCG - Commercial Credit Group, AMORTIZING. Prior month closing balance.</t>
      </text>
    </comment>
    <comment ref="D31" authorId="0" shapeId="0">
      <text>
        <t>Loan: CCG - Commercial Credit Group, AMORTIZING. Interest = Opening * Annual Rate / 12.</t>
      </text>
    </comment>
    <comment ref="E31" authorId="0" shapeId="0">
      <text>
        <t>Loan: CCG - Commercial Credit Group, AMORTIZING. Principal = MIN(Opening, Payment - Interest).</t>
      </text>
    </comment>
    <comment ref="F31" authorId="0" shapeId="0">
      <text>
        <t>Loan: CCG - Commercial Credit Group, AMORTIZING. Closing = Opening - Principal.</t>
      </text>
    </comment>
    <comment ref="C32" authorId="0" shapeId="0">
      <text>
        <t>Loan: CCG - Commercial Credit Group, AMORTIZING. Prior month closing balance.</t>
      </text>
    </comment>
    <comment ref="D32" authorId="0" shapeId="0">
      <text>
        <t>Loan: CCG - Commercial Credit Group, AMORTIZING. Interest = Opening * Annual Rate / 12.</t>
      </text>
    </comment>
    <comment ref="E32" authorId="0" shapeId="0">
      <text>
        <t>Loan: CCG - Commercial Credit Group, AMORTIZING. Principal = MIN(Opening, Payment - Interest).</t>
      </text>
    </comment>
    <comment ref="F32" authorId="0" shapeId="0">
      <text>
        <t>Loan: CCG - Commercial Credit Group, AMORTIZING. Closing = Opening - Principal.</t>
      </text>
    </comment>
    <comment ref="C33" authorId="0" shapeId="0">
      <text>
        <t>Loan: CCG - Commercial Credit Group, AMORTIZING. Prior month closing balance.</t>
      </text>
    </comment>
    <comment ref="D33" authorId="0" shapeId="0">
      <text>
        <t>Loan: CCG - Commercial Credit Group, AMORTIZING. Interest = Opening * Annual Rate / 12.</t>
      </text>
    </comment>
    <comment ref="E33" authorId="0" shapeId="0">
      <text>
        <t>Loan: CCG - Commercial Credit Group, AMORTIZING. Principal = MIN(Opening, Payment - Interest).</t>
      </text>
    </comment>
    <comment ref="F33" authorId="0" shapeId="0">
      <text>
        <t>Loan: CCG - Commercial Credit Group, AMORTIZING. Closing = Opening - Principal.</t>
      </text>
    </comment>
    <comment ref="C34" authorId="0" shapeId="0">
      <text>
        <t>Loan: CCG - Commercial Credit Group, AMORTIZING. Prior month closing balance.</t>
      </text>
    </comment>
    <comment ref="D34" authorId="0" shapeId="0">
      <text>
        <t>Loan: CCG - Commercial Credit Group, AMORTIZING. Interest = Opening * Annual Rate / 12.</t>
      </text>
    </comment>
    <comment ref="E34" authorId="0" shapeId="0">
      <text>
        <t>Loan: CCG - Commercial Credit Group, AMORTIZING. Principal = MIN(Opening, Payment - Interest).</t>
      </text>
    </comment>
    <comment ref="F34" authorId="0" shapeId="0">
      <text>
        <t>Loan: CCG - Commercial Credit Group, AMORTIZING. Closing = Opening - Principal.</t>
      </text>
    </comment>
    <comment ref="C35" authorId="0" shapeId="0">
      <text>
        <t>Loan: CCG - Commercial Credit Group, AMORTIZING. Prior month closing balance.</t>
      </text>
    </comment>
    <comment ref="D35" authorId="0" shapeId="0">
      <text>
        <t>Loan: CCG - Commercial Credit Group, AMORTIZING. Interest = Opening * Annual Rate / 12.</t>
      </text>
    </comment>
    <comment ref="E35" authorId="0" shapeId="0">
      <text>
        <t>Loan: CCG - Commercial Credit Group, AMORTIZING. Principal = MIN(Opening, Payment - Interest).</t>
      </text>
    </comment>
    <comment ref="F35" authorId="0" shapeId="0">
      <text>
        <t>Loan: CCG - Commercial Credit Group, AMORTIZING. Closing = Opening - Principal.</t>
      </text>
    </comment>
    <comment ref="C36" authorId="0" shapeId="0">
      <text>
        <t>Loan: CCG - Commercial Credit Group, AMORTIZING. Prior month closing balance.</t>
      </text>
    </comment>
    <comment ref="D36" authorId="0" shapeId="0">
      <text>
        <t>Loan: CCG - Commercial Credit Group, AMORTIZING. Interest = Opening * Annual Rate / 12.</t>
      </text>
    </comment>
    <comment ref="E36" authorId="0" shapeId="0">
      <text>
        <t>Loan: CCG - Commercial Credit Group, AMORTIZING. Principal = MIN(Opening, Payment - Interest).</t>
      </text>
    </comment>
    <comment ref="F36" authorId="0" shapeId="0">
      <text>
        <t>Loan: CCG - Commercial Credit Group, AMORTIZING. Closing = Opening - Principal.</t>
      </text>
    </comment>
    <comment ref="C37" authorId="0" shapeId="0">
      <text>
        <t>Loan: CCG - Commercial Credit Group, AMORTIZING. Prior month closing balance.</t>
      </text>
    </comment>
    <comment ref="D37" authorId="0" shapeId="0">
      <text>
        <t>Loan: CCG - Commercial Credit Group, AMORTIZING. Interest = Opening * Annual Rate / 12.</t>
      </text>
    </comment>
    <comment ref="E37" authorId="0" shapeId="0">
      <text>
        <t>Loan: CCG - Commercial Credit Group, AMORTIZING. Principal = MIN(Opening, Payment - Interest).</t>
      </text>
    </comment>
    <comment ref="F37" authorId="0" shapeId="0">
      <text>
        <t>Loan: CCG - Commercial Credit Group, AMORTIZING. Closing = Opening - Principal.</t>
      </text>
    </comment>
    <comment ref="C38" authorId="0" shapeId="0">
      <text>
        <t>Loan: CCG - Commercial Credit Group, AMORTIZING. Prior month closing balance.</t>
      </text>
    </comment>
    <comment ref="D38" authorId="0" shapeId="0">
      <text>
        <t>Loan: CCG - Commercial Credit Group, AMORTIZING. Interest = Opening * Annual Rate / 12.</t>
      </text>
    </comment>
    <comment ref="E38" authorId="0" shapeId="0">
      <text>
        <t>Loan: CCG - Commercial Credit Group, AMORTIZING. Principal = MIN(Opening, Payment - Interest).</t>
      </text>
    </comment>
    <comment ref="F38" authorId="0" shapeId="0">
      <text>
        <t>Loan: CCG - Commercial Credit Group, AMORTIZING. Closing = Opening - Principal.</t>
      </text>
    </comment>
    <comment ref="C39" authorId="0" shapeId="0">
      <text>
        <t>Loan: CCG - Commercial Credit Group, AMORTIZING. Prior month closing balance.</t>
      </text>
    </comment>
    <comment ref="D39" authorId="0" shapeId="0">
      <text>
        <t>Loan: CCG - Commercial Credit Group, AMORTIZING. Interest = Opening * Annual Rate / 12.</t>
      </text>
    </comment>
    <comment ref="E39" authorId="0" shapeId="0">
      <text>
        <t>Loan: CCG - Commercial Credit Group, AMORTIZING. Principal = MIN(Opening, Payment - Interest).</t>
      </text>
    </comment>
    <comment ref="F39" authorId="0" shapeId="0">
      <text>
        <t>Loan: CCG - Commercial Credit Group, AMORTIZING. Closing = Opening - Principal.</t>
      </text>
    </comment>
    <comment ref="C40" authorId="0" shapeId="0">
      <text>
        <t>Loan: CCG - Commercial Credit Group, AMORTIZING. Prior month closing balance.</t>
      </text>
    </comment>
    <comment ref="D40" authorId="0" shapeId="0">
      <text>
        <t>Loan: CCG - Commercial Credit Group, AMORTIZING. Interest = Opening * Annual Rate / 12.</t>
      </text>
    </comment>
    <comment ref="E40" authorId="0" shapeId="0">
      <text>
        <t>Loan: CCG - Commercial Credit Group, AMORTIZING. Principal = MIN(Opening, Payment - Interest).</t>
      </text>
    </comment>
    <comment ref="F40" authorId="0" shapeId="0">
      <text>
        <t>Loan: CCG - Commercial Credit Group, AMORTIZING. Closing = Opening - Principal.</t>
      </text>
    </comment>
    <comment ref="C41" authorId="0" shapeId="0">
      <text>
        <t>Loan: CCG - Commercial Credit Group, AMORTIZING. Prior month closing balance.</t>
      </text>
    </comment>
    <comment ref="D41" authorId="0" shapeId="0">
      <text>
        <t>Loan: CCG - Commercial Credit Group, AMORTIZING. Interest = Opening * Annual Rate / 12.</t>
      </text>
    </comment>
    <comment ref="E41" authorId="0" shapeId="0">
      <text>
        <t>Loan: CCG - Commercial Credit Group, AMORTIZING. Principal = MIN(Opening, Payment - Interest).</t>
      </text>
    </comment>
    <comment ref="F41" authorId="0" shapeId="0">
      <text>
        <t>Loan: CCG - Commercial Credit Group, AMORTIZING. Closing = Opening - Principal.</t>
      </text>
    </comment>
    <comment ref="C42" authorId="0" shapeId="0">
      <text>
        <t>Loan: CCG - Commercial Credit Group, AMORTIZING. Prior month closing balance.</t>
      </text>
    </comment>
    <comment ref="D42" authorId="0" shapeId="0">
      <text>
        <t>Loan: CCG - Commercial Credit Group, AMORTIZING. Interest = Opening * Annual Rate / 12.</t>
      </text>
    </comment>
    <comment ref="E42" authorId="0" shapeId="0">
      <text>
        <t>Loan: CCG - Commercial Credit Group, AMORTIZING. Principal = MIN(Opening, Payment - Interest).</t>
      </text>
    </comment>
    <comment ref="F42" authorId="0" shapeId="0">
      <text>
        <t>Loan: CCG - Commercial Credit Group, AMORTIZING. Closing = Opening - Principal.</t>
      </text>
    </comment>
    <comment ref="C43" authorId="0" shapeId="0">
      <text>
        <t>Loan: CCG - Commercial Credit Group, AMORTIZING. Prior month closing balance.</t>
      </text>
    </comment>
    <comment ref="D43" authorId="0" shapeId="0">
      <text>
        <t>Loan: CCG - Commercial Credit Group, AMORTIZING. Interest = Opening * Annual Rate / 12.</t>
      </text>
    </comment>
    <comment ref="E43" authorId="0" shapeId="0">
      <text>
        <t>Loan: CCG - Commercial Credit Group, AMORTIZING. Principal = MIN(Opening, Payment - Interest).</t>
      </text>
    </comment>
    <comment ref="F43" authorId="0" shapeId="0">
      <text>
        <t>Loan: CCG - Commercial Credit Group, AMORTIZING. Closing = Opening - Principal.</t>
      </text>
    </comment>
    <comment ref="C44" authorId="0" shapeId="0">
      <text>
        <t>Loan: CCG - Commercial Credit Group, AMORTIZING. Prior month closing balance.</t>
      </text>
    </comment>
    <comment ref="D44" authorId="0" shapeId="0">
      <text>
        <t>Loan: CCG - Commercial Credit Group, AMORTIZING. Interest = Opening * Annual Rate / 12.</t>
      </text>
    </comment>
    <comment ref="E44" authorId="0" shapeId="0">
      <text>
        <t>Loan: CCG - Commercial Credit Group, AMORTIZING. Principal = MIN(Opening, Payment - Interest).</t>
      </text>
    </comment>
    <comment ref="F44" authorId="0" shapeId="0">
      <text>
        <t>Loan: CCG - Commercial Credit Group, AMORTIZING. Closing = Opening - Principal.</t>
      </text>
    </comment>
    <comment ref="C45" authorId="0" shapeId="0">
      <text>
        <t>Loan: CCG - Commercial Credit Group, AMORTIZING. Prior month closing balance.</t>
      </text>
    </comment>
    <comment ref="D45" authorId="0" shapeId="0">
      <text>
        <t>Loan: CCG - Commercial Credit Group, AMORTIZING. Interest = Opening * Annual Rate / 12.</t>
      </text>
    </comment>
    <comment ref="E45" authorId="0" shapeId="0">
      <text>
        <t>Loan: CCG - Commercial Credit Group, AMORTIZING. Principal = MIN(Opening, Payment - Interest).</t>
      </text>
    </comment>
    <comment ref="F45" authorId="0" shapeId="0">
      <text>
        <t>Loan: CCG - Commercial Credit Group, AMORTIZING. Closing = Opening - Principal.</t>
      </text>
    </comment>
    <comment ref="C46" authorId="0" shapeId="0">
      <text>
        <t>Loan: CCG - Commercial Credit Group, AMORTIZING. Prior month closing balance.</t>
      </text>
    </comment>
    <comment ref="D46" authorId="0" shapeId="0">
      <text>
        <t>Loan: CCG - Commercial Credit Group, AMORTIZING. Interest = Opening * Annual Rate / 12.</t>
      </text>
    </comment>
    <comment ref="E46" authorId="0" shapeId="0">
      <text>
        <t>Loan: CCG - Commercial Credit Group, AMORTIZING. Principal = MIN(Opening, Payment - Interest).</t>
      </text>
    </comment>
    <comment ref="F46" authorId="0" shapeId="0">
      <text>
        <t>Loan: CCG - Commercial Credit Group, AMORTIZING. Closing = Opening - Principal.</t>
      </text>
    </comment>
    <comment ref="C47" authorId="0" shapeId="0">
      <text>
        <t>Loan: CCG - Commercial Credit Group, AMORTIZING. Prior month closing balance.</t>
      </text>
    </comment>
    <comment ref="D47" authorId="0" shapeId="0">
      <text>
        <t>Loan: CCG - Commercial Credit Group, AMORTIZING. Interest = Opening * Annual Rate / 12.</t>
      </text>
    </comment>
    <comment ref="E47" authorId="0" shapeId="0">
      <text>
        <t>Loan: CCG - Commercial Credit Group, AMORTIZING. Principal = MIN(Opening, Payment - Interest).</t>
      </text>
    </comment>
    <comment ref="F47" authorId="0" shapeId="0">
      <text>
        <t>Loan: CCG - Commercial Credit Group, AMORTIZING. Closing = Opening - Principal.</t>
      </text>
    </comment>
    <comment ref="C48" authorId="0" shapeId="0">
      <text>
        <t>Loan: CCG - Commercial Credit Group, AMORTIZING. Prior month closing balance.</t>
      </text>
    </comment>
    <comment ref="D48" authorId="0" shapeId="0">
      <text>
        <t>Loan: CCG - Commercial Credit Group, AMORTIZING. Interest = Opening * Annual Rate / 12.</t>
      </text>
    </comment>
    <comment ref="E48" authorId="0" shapeId="0">
      <text>
        <t>Loan: CCG - Commercial Credit Group, AMORTIZING. Principal = MIN(Opening, Payment - Interest).</t>
      </text>
    </comment>
    <comment ref="F48" authorId="0" shapeId="0">
      <text>
        <t>Loan: CCG - Commercial Credit Group, AMORTIZING. Closing = Opening - Principal.</t>
      </text>
    </comment>
    <comment ref="C49" authorId="0" shapeId="0">
      <text>
        <t>Loan: CCG - Commercial Credit Group, AMORTIZING. Prior month closing balance.</t>
      </text>
    </comment>
    <comment ref="D49" authorId="0" shapeId="0">
      <text>
        <t>Loan: CCG - Commercial Credit Group, AMORTIZING. Interest = Opening * Annual Rate / 12.</t>
      </text>
    </comment>
    <comment ref="E49" authorId="0" shapeId="0">
      <text>
        <t>Loan: CCG - Commercial Credit Group, AMORTIZING. Principal = MIN(Opening, Payment - Interest).</t>
      </text>
    </comment>
    <comment ref="F49" authorId="0" shapeId="0">
      <text>
        <t>Loan: CCG - Commercial Credit Group, AMORTIZING. Closing = Opening - Principal.</t>
      </text>
    </comment>
    <comment ref="C50" authorId="0" shapeId="0">
      <text>
        <t>Loan: CCG - Commercial Credit Group, AMORTIZING. Prior month closing balance.</t>
      </text>
    </comment>
    <comment ref="D50" authorId="0" shapeId="0">
      <text>
        <t>Loan: CCG - Commercial Credit Group, AMORTIZING. Interest = Opening * Annual Rate / 12.</t>
      </text>
    </comment>
    <comment ref="E50" authorId="0" shapeId="0">
      <text>
        <t>Loan: CCG - Commercial Credit Group, AMORTIZING. Principal = MIN(Opening, Payment - Interest).</t>
      </text>
    </comment>
    <comment ref="F50" authorId="0" shapeId="0">
      <text>
        <t>Loan: CCG - Commercial Credit Group, AMORTIZING. Closing = Opening - Principal.</t>
      </text>
    </comment>
    <comment ref="C51" authorId="0" shapeId="0">
      <text>
        <t>Loan: CCG - Commercial Credit Group, AMORTIZING. Prior month closing balance.</t>
      </text>
    </comment>
    <comment ref="D51" authorId="0" shapeId="0">
      <text>
        <t>Loan: CCG - Commercial Credit Group, AMORTIZING. Interest = Opening * Annual Rate / 12.</t>
      </text>
    </comment>
    <comment ref="E51" authorId="0" shapeId="0">
      <text>
        <t>Loan: CCG - Commercial Credit Group, AMORTIZING. Principal = MIN(Opening, Payment - Interest).</t>
      </text>
    </comment>
    <comment ref="F51" authorId="0" shapeId="0">
      <text>
        <t>Loan: CCG - Commercial Credit Group, AMORTIZING. Closing = Opening - Principal.</t>
      </text>
    </comment>
    <comment ref="C52" authorId="0" shapeId="0">
      <text>
        <t>Loan: CCG - Commercial Credit Group, AMORTIZING. Prior month closing balance.</t>
      </text>
    </comment>
    <comment ref="D52" authorId="0" shapeId="0">
      <text>
        <t>Loan: CCG - Commercial Credit Group, AMORTIZING. Interest = Opening * Annual Rate / 12.</t>
      </text>
    </comment>
    <comment ref="E52" authorId="0" shapeId="0">
      <text>
        <t>Loan: CCG - Commercial Credit Group, AMORTIZING. Principal = MIN(Opening, Payment - Interest).</t>
      </text>
    </comment>
    <comment ref="F52" authorId="0" shapeId="0">
      <text>
        <t>Loan: CCG - Commercial Credit Group, AMORTIZING. Closing = Opening - Principal.</t>
      </text>
    </comment>
    <comment ref="C53" authorId="0" shapeId="0">
      <text>
        <t>Loan: CCG - Commercial Credit Group, AMORTIZING. Prior month closing balance.</t>
      </text>
    </comment>
    <comment ref="D53" authorId="0" shapeId="0">
      <text>
        <t>Loan: CCG - Commercial Credit Group, AMORTIZING. Interest = Opening * Annual Rate / 12.</t>
      </text>
    </comment>
    <comment ref="E53" authorId="0" shapeId="0">
      <text>
        <t>Loan: CCG - Commercial Credit Group, AMORTIZING. Principal = MIN(Opening, Payment - Interest).</t>
      </text>
    </comment>
    <comment ref="F53" authorId="0" shapeId="0">
      <text>
        <t>Loan: CCG - Commercial Credit Group, AMORTIZING. Closing = Opening - Principal.</t>
      </text>
    </comment>
    <comment ref="C54" authorId="0" shapeId="0">
      <text>
        <t>Loan: CCG - Commercial Credit Group, AMORTIZING. Prior month closing balance.</t>
      </text>
    </comment>
    <comment ref="D54" authorId="0" shapeId="0">
      <text>
        <t>Loan: CCG - Commercial Credit Group, AMORTIZING. Interest = Opening * Annual Rate / 12.</t>
      </text>
    </comment>
    <comment ref="E54" authorId="0" shapeId="0">
      <text>
        <t>Loan: CCG - Commercial Credit Group, AMORTIZING. Principal = MIN(Opening, Payment - Interest).</t>
      </text>
    </comment>
    <comment ref="F54" authorId="0" shapeId="0">
      <text>
        <t>Loan: CCG - Commercial Credit Group, AMORTIZING. Closing = Opening - Principal.</t>
      </text>
    </comment>
    <comment ref="C55" authorId="0" shapeId="0">
      <text>
        <t>Loan: CCG - Commercial Credit Group, AMORTIZING. Prior month closing balance.</t>
      </text>
    </comment>
    <comment ref="D55" authorId="0" shapeId="0">
      <text>
        <t>Loan: CCG - Commercial Credit Group, AMORTIZING. Interest = Opening * Annual Rate / 12.</t>
      </text>
    </comment>
    <comment ref="E55" authorId="0" shapeId="0">
      <text>
        <t>Loan: CCG - Commercial Credit Group, AMORTIZING. Principal = MIN(Opening, Payment - Interest).</t>
      </text>
    </comment>
    <comment ref="F55" authorId="0" shapeId="0">
      <text>
        <t>Loan: CCG - Commercial Credit Group, AMORTIZING. Closing = Opening - Principal.</t>
      </text>
    </comment>
    <comment ref="C56" authorId="0" shapeId="0">
      <text>
        <t>Loan: CCG - Commercial Credit Group, AMORTIZING. Prior month closing balance.</t>
      </text>
    </comment>
    <comment ref="D56" authorId="0" shapeId="0">
      <text>
        <t>Loan: CCG - Commercial Credit Group, AMORTIZING. Interest = Opening * Annual Rate / 12.</t>
      </text>
    </comment>
    <comment ref="E56" authorId="0" shapeId="0">
      <text>
        <t>Loan: CCG - Commercial Credit Group, AMORTIZING. Principal = MIN(Opening, Payment - Interest).</t>
      </text>
    </comment>
    <comment ref="F56" authorId="0" shapeId="0">
      <text>
        <t>Loan: CCG - Commercial Credit Group, AMORTIZING. Closing = Opening - Principal.</t>
      </text>
    </comment>
    <comment ref="C57" authorId="0" shapeId="0">
      <text>
        <t>Loan: CCG - Commercial Credit Group, AMORTIZING. Prior month closing balance.</t>
      </text>
    </comment>
    <comment ref="D57" authorId="0" shapeId="0">
      <text>
        <t>Loan: CCG - Commercial Credit Group, AMORTIZING. Interest = Opening * Annual Rate / 12.</t>
      </text>
    </comment>
    <comment ref="E57" authorId="0" shapeId="0">
      <text>
        <t>Loan: CCG - Commercial Credit Group, AMORTIZING. Principal = MIN(Opening, Payment - Interest).</t>
      </text>
    </comment>
    <comment ref="F57" authorId="0" shapeId="0">
      <text>
        <t>Loan: CCG - Commercial Credit Group, AMORTIZING. Closing = Opening - Principal.</t>
      </text>
    </comment>
    <comment ref="C58" authorId="0" shapeId="0">
      <text>
        <t>Loan: CCG - Commercial Credit Group, AMORTIZING. Prior month closing balance.</t>
      </text>
    </comment>
    <comment ref="D58" authorId="0" shapeId="0">
      <text>
        <t>Loan: CCG - Commercial Credit Group, AMORTIZING. Interest = Opening * Annual Rate / 12.</t>
      </text>
    </comment>
    <comment ref="E58" authorId="0" shapeId="0">
      <text>
        <t>Loan: CCG - Commercial Credit Group, AMORTIZING. Principal = MIN(Opening, Payment - Interest).</t>
      </text>
    </comment>
    <comment ref="F58" authorId="0" shapeId="0">
      <text>
        <t>Loan: CCG - Commercial Credit Group, AMORTIZING. Closing = Opening - Principal.</t>
      </text>
    </comment>
    <comment ref="C59" authorId="0" shapeId="0">
      <text>
        <t>Loan: CCG - Commercial Credit Group, AMORTIZING. Prior month closing balance.</t>
      </text>
    </comment>
    <comment ref="D59" authorId="0" shapeId="0">
      <text>
        <t>Loan: CCG - Commercial Credit Group, AMORTIZING. Interest = Opening * Annual Rate / 12.</t>
      </text>
    </comment>
    <comment ref="E59" authorId="0" shapeId="0">
      <text>
        <t>Loan: CCG - Commercial Credit Group, AMORTIZING. Principal = MIN(Opening, Payment - Interest).</t>
      </text>
    </comment>
    <comment ref="F59" authorId="0" shapeId="0">
      <text>
        <t>Loan: CCG - Commercial Credit Group, AMORTIZING. Closing = Opening - Principal.</t>
      </text>
    </comment>
    <comment ref="C60" authorId="0" shapeId="0">
      <text>
        <t>Loan: CCG - Commercial Credit Group, AMORTIZING. Prior month closing balance.</t>
      </text>
    </comment>
    <comment ref="D60" authorId="0" shapeId="0">
      <text>
        <t>Loan: CCG - Commercial Credit Group, AMORTIZING. Interest = Opening * Annual Rate / 12.</t>
      </text>
    </comment>
    <comment ref="E60" authorId="0" shapeId="0">
      <text>
        <t>Loan: CCG - Commercial Credit Group, AMORTIZING. Principal = MIN(Opening, Payment - Interest).</t>
      </text>
    </comment>
    <comment ref="F60" authorId="0" shapeId="0">
      <text>
        <t>Loan: CCG - Commercial Credit Group, AMORTIZING. Closing = Opening - Principal.</t>
      </text>
    </comment>
    <comment ref="C61" authorId="0" shapeId="0">
      <text>
        <t>Loan: CCG - Commercial Credit Group, AMORTIZING. Prior month closing balance.</t>
      </text>
    </comment>
    <comment ref="D61" authorId="0" shapeId="0">
      <text>
        <t>Loan: CCG - Commercial Credit Group, AMORTIZING. Interest = Opening * Annual Rate / 12.</t>
      </text>
    </comment>
    <comment ref="E61" authorId="0" shapeId="0">
      <text>
        <t>Loan: CCG - Commercial Credit Group, AMORTIZING. Principal = MIN(Opening, Payment - Interest).</t>
      </text>
    </comment>
    <comment ref="F61" authorId="0" shapeId="0">
      <text>
        <t>Loan: CCG - Commercial Credit Group, AMORTIZING. Closing = Opening - Principal.</t>
      </text>
    </comment>
    <comment ref="C62" authorId="0" shapeId="0">
      <text>
        <t>Loan: CCG - Commercial Credit Group, AMORTIZING. Prior month closing balance.</t>
      </text>
    </comment>
    <comment ref="D62" authorId="0" shapeId="0">
      <text>
        <t>Loan: CCG - Commercial Credit Group, AMORTIZING. Interest = Opening * Annual Rate / 12.</t>
      </text>
    </comment>
    <comment ref="E62" authorId="0" shapeId="0">
      <text>
        <t>Loan: CCG - Commercial Credit Group, AMORTIZING. Principal = MIN(Opening, Payment - Interest).</t>
      </text>
    </comment>
    <comment ref="F62" authorId="0" shapeId="0">
      <text>
        <t>Loan: CCG - Commercial Credit Group, AMORTIZING. Closing = Opening - Principal.</t>
      </text>
    </comment>
    <comment ref="C63" authorId="0" shapeId="0">
      <text>
        <t>Loan: CCG - Commercial Credit Group, AMORTIZING. Prior month closing balance.</t>
      </text>
    </comment>
    <comment ref="D63" authorId="0" shapeId="0">
      <text>
        <t>Loan: CCG - Commercial Credit Group, AMORTIZING. Interest = Opening * Annual Rate / 12.</t>
      </text>
    </comment>
    <comment ref="E63" authorId="0" shapeId="0">
      <text>
        <t>Loan: CCG - Commercial Credit Group, AMORTIZING. Principal = MIN(Opening, Payment - Interest).</t>
      </text>
    </comment>
    <comment ref="F63" authorId="0" shapeId="0">
      <text>
        <t>Loan: CCG - Commercial Credit Group, AMORTIZING. Closing = Opening - Principal.</t>
      </text>
    </comment>
    <comment ref="C64" authorId="0" shapeId="0">
      <text>
        <t>Loan: CCG - Commercial Credit Group, AMORTIZING. Prior month closing balance.</t>
      </text>
    </comment>
    <comment ref="D64" authorId="0" shapeId="0">
      <text>
        <t>Loan: CCG - Commercial Credit Group, AMORTIZING. Interest = Opening * Annual Rate / 12.</t>
      </text>
    </comment>
    <comment ref="E64" authorId="0" shapeId="0">
      <text>
        <t>Loan: CCG - Commercial Credit Group, AMORTIZING. Principal = MIN(Opening, Payment - Interest).</t>
      </text>
    </comment>
    <comment ref="F64" authorId="0" shapeId="0">
      <text>
        <t>Loan: CCG - Commercial Credit Group, AMORTIZING. Closing = Opening - Principal.</t>
      </text>
    </comment>
    <comment ref="C65" authorId="0" shapeId="0">
      <text>
        <t>Loan: CCG - Commercial Credit Group, AMORTIZING. Prior month closing balance.</t>
      </text>
    </comment>
    <comment ref="D65" authorId="0" shapeId="0">
      <text>
        <t>Loan: CCG - Commercial Credit Group, AMORTIZING. Interest = Opening * Annual Rate / 12.</t>
      </text>
    </comment>
    <comment ref="E65" authorId="0" shapeId="0">
      <text>
        <t>Loan: CCG - Commercial Credit Group, AMORTIZING. Principal = MIN(Opening, Payment - Interest).</t>
      </text>
    </comment>
    <comment ref="F65" authorId="0" shapeId="0">
      <text>
        <t>Loan: CCG - Commercial Credit Group, AMORTIZING. Closing = Opening - Principal.</t>
      </text>
    </comment>
    <comment ref="C66" authorId="0" shapeId="0">
      <text>
        <t>Loan: CCG - Commercial Credit Group, AMORTIZING. Prior month closing balance.</t>
      </text>
    </comment>
    <comment ref="D66" authorId="0" shapeId="0">
      <text>
        <t>Loan: CCG - Commercial Credit Group, AMORTIZING. Interest = Opening * Annual Rate / 12.</t>
      </text>
    </comment>
    <comment ref="E66" authorId="0" shapeId="0">
      <text>
        <t>Loan: CCG - Commercial Credit Group, AMORTIZING. Principal = MIN(Opening, Payment - Interest).</t>
      </text>
    </comment>
    <comment ref="F66" authorId="0" shapeId="0">
      <text>
        <t>Loan: CCG - Commercial Credit Group, AMORTIZING. Closing = Opening - Principal.</t>
      </text>
    </comment>
    <comment ref="C67" authorId="0" shapeId="0">
      <text>
        <t>Loan: CCG - Commercial Credit Group, AMORTIZING. Prior month closing balance.</t>
      </text>
    </comment>
    <comment ref="D67" authorId="0" shapeId="0">
      <text>
        <t>Loan: CCG - Commercial Credit Group, AMORTIZING. Interest = Opening * Annual Rate / 12.</t>
      </text>
    </comment>
    <comment ref="E67" authorId="0" shapeId="0">
      <text>
        <t>Loan: CCG - Commercial Credit Group, AMORTIZING. Principal = MIN(Opening, Payment - Interest).</t>
      </text>
    </comment>
    <comment ref="F67" authorId="0" shapeId="0">
      <text>
        <t>Loan: CCG - Commercial Credit Group, AMORTIZING. Closing = Opening - Principal.</t>
      </text>
    </comment>
    <comment ref="C68" authorId="0" shapeId="0">
      <text>
        <t>Loan: CCG - Commercial Credit Group, AMORTIZING. Prior month closing balance.</t>
      </text>
    </comment>
    <comment ref="D68" authorId="0" shapeId="0">
      <text>
        <t>Loan: CCG - Commercial Credit Group, AMORTIZING. Interest = Opening * Annual Rate / 12.</t>
      </text>
    </comment>
    <comment ref="E68" authorId="0" shapeId="0">
      <text>
        <t>Loan: CCG - Commercial Credit Group, AMORTIZING. Principal = MIN(Opening, Payment - Interest).</t>
      </text>
    </comment>
    <comment ref="F68" authorId="0" shapeId="0">
      <text>
        <t>Loan: CCG - Commercial Credit Group, AMORTIZING. Closing = Opening - Principal.</t>
      </text>
    </comment>
    <comment ref="C69" authorId="0" shapeId="0">
      <text>
        <t>Loan: CCG - Commercial Credit Group, AMORTIZING. Prior month closing balance.</t>
      </text>
    </comment>
    <comment ref="D69" authorId="0" shapeId="0">
      <text>
        <t>Loan: CCG - Commercial Credit Group, AMORTIZING. Interest = Opening * Annual Rate / 12.</t>
      </text>
    </comment>
    <comment ref="E69" authorId="0" shapeId="0">
      <text>
        <t>Loan: CCG - Commercial Credit Group, AMORTIZING. Principal = MIN(Opening, Payment - Interest).</t>
      </text>
    </comment>
    <comment ref="F69" authorId="0" shapeId="0">
      <text>
        <t>Loan: CCG - Commercial Credit Group, AMORTIZING. Closing = Opening - Principal.</t>
      </text>
    </comment>
    <comment ref="C70" authorId="0" shapeId="0">
      <text>
        <t>Loan: CCG - Commercial Credit Group, AMORTIZING. Prior month closing balance.</t>
      </text>
    </comment>
    <comment ref="D70" authorId="0" shapeId="0">
      <text>
        <t>Loan: CCG - Commercial Credit Group, AMORTIZING. Interest = Opening * Annual Rate / 12.</t>
      </text>
    </comment>
    <comment ref="E70" authorId="0" shapeId="0">
      <text>
        <t>Loan: CCG - Commercial Credit Group, AMORTIZING. Principal = MIN(Opening, Payment - Interest).</t>
      </text>
    </comment>
    <comment ref="F70" authorId="0" shapeId="0">
      <text>
        <t>Loan: CCG - Commercial Credit Group, AMORTIZING. Closing = Opening - Principal.</t>
      </text>
    </comment>
    <comment ref="C71" authorId="0" shapeId="0">
      <text>
        <t>Loan: CCG - Commercial Credit Group, AMORTIZING. Prior month closing balance.</t>
      </text>
    </comment>
    <comment ref="D71" authorId="0" shapeId="0">
      <text>
        <t>Loan: CCG - Commercial Credit Group, AMORTIZING. Interest = Opening * Annual Rate / 12.</t>
      </text>
    </comment>
    <comment ref="E71" authorId="0" shapeId="0">
      <text>
        <t>Loan: CCG - Commercial Credit Group, AMORTIZING. Principal = MIN(Opening, Payment - Interest).</t>
      </text>
    </comment>
    <comment ref="F71" authorId="0" shapeId="0">
      <text>
        <t>Loan: CCG - Commercial Credit Group, AMORTIZING. Closing = Opening - Principal.</t>
      </text>
    </comment>
    <comment ref="C72" authorId="0" shapeId="0">
      <text>
        <t>Loan: CCG - Commercial Credit Group, AMORTIZING. Prior month closing balance.</t>
      </text>
    </comment>
    <comment ref="D72" authorId="0" shapeId="0">
      <text>
        <t>Loan: CCG - Commercial Credit Group, AMORTIZING. Interest = Opening * Annual Rate / 12.</t>
      </text>
    </comment>
    <comment ref="E72" authorId="0" shapeId="0">
      <text>
        <t>Loan: CCG - Commercial Credit Group, AMORTIZING. Principal = MIN(Opening, Payment - Interest).</t>
      </text>
    </comment>
    <comment ref="F72" authorId="0" shapeId="0">
      <text>
        <t>Loan: CCG - Commercial Credit Group, AMORTIZING. Closing = Opening - Principal.</t>
      </text>
    </comment>
    <comment ref="C73" authorId="0" shapeId="0">
      <text>
        <t>Loan: CCG - Commercial Credit Group, AMORTIZING. Prior month closing balance.</t>
      </text>
    </comment>
    <comment ref="D73" authorId="0" shapeId="0">
      <text>
        <t>Loan: CCG - Commercial Credit Group, AMORTIZING. Interest = Opening * Annual Rate / 12.</t>
      </text>
    </comment>
    <comment ref="E73" authorId="0" shapeId="0">
      <text>
        <t>Loan: CCG - Commercial Credit Group, AMORTIZING. Principal = MIN(Opening, Payment - Interest).</t>
      </text>
    </comment>
    <comment ref="F73" authorId="0" shapeId="0">
      <text>
        <t>Loan: CCG - Commercial Credit Group, AMORTIZING. Closing = Opening - Principal.</t>
      </text>
    </comment>
    <comment ref="C74" authorId="0" shapeId="0">
      <text>
        <t>Loan: CCG - Commercial Credit Group, AMORTIZING. Prior month closing balance.</t>
      </text>
    </comment>
    <comment ref="D74" authorId="0" shapeId="0">
      <text>
        <t>Loan: CCG - Commercial Credit Group, AMORTIZING. Interest = Opening * Annual Rate / 12.</t>
      </text>
    </comment>
    <comment ref="E74" authorId="0" shapeId="0">
      <text>
        <t>Loan: CCG - Commercial Credit Group, AMORTIZING. Principal = MIN(Opening, Payment - Interest).</t>
      </text>
    </comment>
    <comment ref="F74" authorId="0" shapeId="0">
      <text>
        <t>Loan: CCG - Commercial Credit Group, AMORTIZING. Closing = Opening - Principal.</t>
      </text>
    </comment>
    <comment ref="C75" authorId="0" shapeId="0">
      <text>
        <t>Loan: CCG - Commercial Credit Group, AMORTIZING. Prior month closing balance.</t>
      </text>
    </comment>
    <comment ref="D75" authorId="0" shapeId="0">
      <text>
        <t>Loan: CCG - Commercial Credit Group, AMORTIZING. Interest = Opening * Annual Rate / 12.</t>
      </text>
    </comment>
    <comment ref="E75" authorId="0" shapeId="0">
      <text>
        <t>Loan: CCG - Commercial Credit Group, AMORTIZING. Principal = MIN(Opening, Payment - Interest).</t>
      </text>
    </comment>
    <comment ref="F75" authorId="0" shapeId="0">
      <text>
        <t>Loan: CCG - Commercial Credit Group, AMORTIZING. Closing = Opening - Principal.</t>
      </text>
    </comment>
    <comment ref="C76" authorId="0" shapeId="0">
      <text>
        <t>Loan: CCG - Commercial Credit Group, AMORTIZING. Prior month closing balance.</t>
      </text>
    </comment>
    <comment ref="D76" authorId="0" shapeId="0">
      <text>
        <t>Loan: CCG - Commercial Credit Group, AMORTIZING. Interest = Opening * Annual Rate / 12.</t>
      </text>
    </comment>
    <comment ref="E76" authorId="0" shapeId="0">
      <text>
        <t>Loan: CCG - Commercial Credit Group, AMORTIZING. Principal = MIN(Opening, Payment - Interest).</t>
      </text>
    </comment>
    <comment ref="F76" authorId="0" shapeId="0">
      <text>
        <t>Loan: CCG - Commercial Credit Group, AMORTIZING. Closing = Opening - Principal.</t>
      </text>
    </comment>
    <comment ref="C77" authorId="0" shapeId="0">
      <text>
        <t>Loan: CCG - Commercial Credit Group, AMORTIZING. Prior month closing balance.</t>
      </text>
    </comment>
    <comment ref="D77" authorId="0" shapeId="0">
      <text>
        <t>Loan: CCG - Commercial Credit Group, AMORTIZING. Interest = Opening * Annual Rate / 12.</t>
      </text>
    </comment>
    <comment ref="E77" authorId="0" shapeId="0">
      <text>
        <t>Loan: CCG - Commercial Credit Group, AMORTIZING. Principal = MIN(Opening, Payment - Interest).</t>
      </text>
    </comment>
    <comment ref="F77" authorId="0" shapeId="0">
      <text>
        <t>Loan: CCG - Commercial Credit Group, AMORTIZING. Closing = Opening - Principal.</t>
      </text>
    </comment>
    <comment ref="C78" authorId="0" shapeId="0">
      <text>
        <t>Loan: CCG - Commercial Credit Group, AMORTIZING. Prior month closing balance.</t>
      </text>
    </comment>
    <comment ref="D78" authorId="0" shapeId="0">
      <text>
        <t>Loan: CCG - Commercial Credit Group, AMORTIZING. Interest = Opening * Annual Rate / 12.</t>
      </text>
    </comment>
    <comment ref="E78" authorId="0" shapeId="0">
      <text>
        <t>Loan: CCG - Commercial Credit Group, AMORTIZING. Principal = MIN(Opening, Payment - Interest).</t>
      </text>
    </comment>
    <comment ref="F78" authorId="0" shapeId="0">
      <text>
        <t>Loan: CCG - Commercial Credit Group, AMORTIZING. Closing = Opening - Principal.</t>
      </text>
    </comment>
    <comment ref="C79" authorId="0" shapeId="0">
      <text>
        <t>Loan: CCG - Commercial Credit Group, AMORTIZING. Prior month closing balance.</t>
      </text>
    </comment>
    <comment ref="D79" authorId="0" shapeId="0">
      <text>
        <t>Loan: CCG - Commercial Credit Group, AMORTIZING. Interest = Opening * Annual Rate / 12.</t>
      </text>
    </comment>
    <comment ref="E79" authorId="0" shapeId="0">
      <text>
        <t>Loan: CCG - Commercial Credit Group, AMORTIZING. Principal = MIN(Opening, Payment - Interest).</t>
      </text>
    </comment>
    <comment ref="F79" authorId="0" shapeId="0">
      <text>
        <t>Loan: CCG - Commercial Credit Group, AMORTIZING. Closing = Opening - Principal.</t>
      </text>
    </comment>
    <comment ref="B84" authorId="0" shapeId="0">
      <text>
        <t>Sum of rows 24-35: Year 2026 beginning balance.</t>
      </text>
    </comment>
    <comment ref="C84" authorId="0" shapeId="0">
      <text>
        <t>Sum of rows 24-35: Total interest for year 2026.</t>
      </text>
    </comment>
    <comment ref="D84" authorId="0" shapeId="0">
      <text>
        <t>Sum of rows 24-35: Total principal for year 2026.</t>
      </text>
    </comment>
    <comment ref="E84" authorId="0" shapeId="0">
      <text>
        <t>Sum of rows 24-35: Year 2026 ending balance.</t>
      </text>
    </comment>
    <comment ref="B85" authorId="0" shapeId="0">
      <text>
        <t>Sum of rows 36-47: Year 2027 beginning balance.</t>
      </text>
    </comment>
    <comment ref="C85" authorId="0" shapeId="0">
      <text>
        <t>Sum of rows 36-47: Total interest for year 2027.</t>
      </text>
    </comment>
    <comment ref="D85" authorId="0" shapeId="0">
      <text>
        <t>Sum of rows 36-47: Total principal for year 2027.</t>
      </text>
    </comment>
    <comment ref="E85" authorId="0" shapeId="0">
      <text>
        <t>Sum of rows 36-47: Year 2027 ending balance.</t>
      </text>
    </comment>
    <comment ref="B86" authorId="0" shapeId="0">
      <text>
        <t>Sum of rows 48-59: Year 2028 beginning balance.</t>
      </text>
    </comment>
    <comment ref="C86" authorId="0" shapeId="0">
      <text>
        <t>Sum of rows 48-59: Total interest for year 2028.</t>
      </text>
    </comment>
    <comment ref="D86" authorId="0" shapeId="0">
      <text>
        <t>Sum of rows 48-59: Total principal for year 2028.</t>
      </text>
    </comment>
    <comment ref="E86" authorId="0" shapeId="0">
      <text>
        <t>Sum of rows 48-59: Year 2028 ending balance.</t>
      </text>
    </comment>
    <comment ref="B87" authorId="0" shapeId="0">
      <text>
        <t>Sum of rows 60-71: Year 2029 beginning balance.</t>
      </text>
    </comment>
    <comment ref="C87" authorId="0" shapeId="0">
      <text>
        <t>Sum of rows 60-71: Total interest for year 2029.</t>
      </text>
    </comment>
    <comment ref="D87" authorId="0" shapeId="0">
      <text>
        <t>Sum of rows 60-71: Total principal for year 2029.</t>
      </text>
    </comment>
    <comment ref="E87" authorId="0" shapeId="0">
      <text>
        <t>Sum of rows 60-71: Year 2029 ending balance.</t>
      </text>
    </comment>
    <comment ref="B88" authorId="0" shapeId="0">
      <text>
        <t>Sum of rows 72-79: Year 2030 beginning balance.</t>
      </text>
    </comment>
    <comment ref="C88" authorId="0" shapeId="0">
      <text>
        <t>Sum of rows 72-79: Total interest for year 2030.</t>
      </text>
    </comment>
    <comment ref="D88" authorId="0" shapeId="0">
      <text>
        <t>Sum of rows 72-79: Total principal for year 2030.</t>
      </text>
    </comment>
    <comment ref="E88" authorId="0" shapeId="0">
      <text>
        <t>Sum of rows 72-79: Year 2030 ending balance.</t>
      </text>
    </comment>
    <comment ref="B91" authorId="0" shapeId="0">
      <text>
        <t>Links to: Debt Schedule. Current balance as of 12/31/2025 for CCG 6 Trucks 814-819.</t>
      </text>
    </comment>
  </commentList>
</comments>
</file>

<file path=xl/comments/comment51.xml><?xml version="1.0" encoding="utf-8"?>
<comments xmlns="http://schemas.openxmlformats.org/spreadsheetml/2006/main">
  <authors>
    <author>Model Builder</author>
  </authors>
  <commentList>
    <comment ref="B2" authorId="0" shapeId="0">
      <text>
        <t>Source: Meiborg_Debt_Schedule_202512.xlsx - Loan 55
Extracted: 2026-05-14</t>
      </text>
    </comment>
    <comment ref="B6" authorId="0" shapeId="0">
      <text>
        <t>Source: Meiborg_Debt_Schedule_202512.xlsx - Loan 55
Original loan amount at origination.</t>
      </text>
    </comment>
    <comment ref="B7" authorId="0" shapeId="0">
      <text>
        <t>Source: Meiborg_Debt_Schedule_202512.xlsx - Loan 55
Balance as of 12/31/2025.</t>
      </text>
    </comment>
    <comment ref="B8" authorId="0" shapeId="0">
      <text>
        <t>Source: Meiborg_Debt_Schedule_202512.xlsx - Loan 55
Annual interest rate.</t>
      </text>
    </comment>
    <comment ref="B9" authorId="0" shapeId="0">
      <text>
        <t>Source: Meiborg_Debt_Schedule_202512.xlsx - Loan 55
Fixed monthly payment amount.</t>
      </text>
    </comment>
    <comment ref="B13" authorId="0" shapeId="0">
      <text>
        <t>Loan: CCG - Commercial Credit Group, AMORTIZING. Source: Meiborg_Debt_Schedule_202512.xlsx - Loan 55</t>
      </text>
    </comment>
    <comment ref="C24" authorId="0" shapeId="0">
      <text>
        <t>Loan: CCG - Commercial Credit Group, AMORTIZING. Source: Meiborg_Debt_Schedule_202512.xlsx - Loan 55
Opening balance from current balance as of 12/31/2025.</t>
      </text>
    </comment>
    <comment ref="D24" authorId="0" shapeId="0">
      <text>
        <t>Loan: CCG - Commercial Credit Group, AMORTIZING. Interest = Opening * Annual Rate / 12.</t>
      </text>
    </comment>
    <comment ref="E24" authorId="0" shapeId="0">
      <text>
        <t>Loan: CCG - Commercial Credit Group, AMORTIZING. Principal = MIN(Opening, Payment - Interest).</t>
      </text>
    </comment>
    <comment ref="F24" authorId="0" shapeId="0">
      <text>
        <t>Loan: CCG - Commercial Credit Group, AMORTIZING. Closing = Opening - Principal.</t>
      </text>
    </comment>
    <comment ref="C25" authorId="0" shapeId="0">
      <text>
        <t>Loan: CCG - Commercial Credit Group, AMORTIZING. Prior month closing balance.</t>
      </text>
    </comment>
    <comment ref="D25" authorId="0" shapeId="0">
      <text>
        <t>Loan: CCG - Commercial Credit Group, AMORTIZING. Interest = Opening * Annual Rate / 12.</t>
      </text>
    </comment>
    <comment ref="E25" authorId="0" shapeId="0">
      <text>
        <t>Loan: CCG - Commercial Credit Group, AMORTIZING. Principal = MIN(Opening, Payment - Interest).</t>
      </text>
    </comment>
    <comment ref="F25" authorId="0" shapeId="0">
      <text>
        <t>Loan: CCG - Commercial Credit Group, AMORTIZING. Closing = Opening - Principal.</t>
      </text>
    </comment>
    <comment ref="C26" authorId="0" shapeId="0">
      <text>
        <t>Loan: CCG - Commercial Credit Group, AMORTIZING. Prior month closing balance.</t>
      </text>
    </comment>
    <comment ref="D26" authorId="0" shapeId="0">
      <text>
        <t>Loan: CCG - Commercial Credit Group, AMORTIZING. Interest = Opening * Annual Rate / 12.</t>
      </text>
    </comment>
    <comment ref="E26" authorId="0" shapeId="0">
      <text>
        <t>Loan: CCG - Commercial Credit Group, AMORTIZING. Principal = MIN(Opening, Payment - Interest).</t>
      </text>
    </comment>
    <comment ref="F26" authorId="0" shapeId="0">
      <text>
        <t>Loan: CCG - Commercial Credit Group, AMORTIZING. Closing = Opening - Principal.</t>
      </text>
    </comment>
    <comment ref="C27" authorId="0" shapeId="0">
      <text>
        <t>Loan: CCG - Commercial Credit Group, AMORTIZING. Prior month closing balance.</t>
      </text>
    </comment>
    <comment ref="D27" authorId="0" shapeId="0">
      <text>
        <t>Loan: CCG - Commercial Credit Group, AMORTIZING. Interest = Opening * Annual Rate / 12.</t>
      </text>
    </comment>
    <comment ref="E27" authorId="0" shapeId="0">
      <text>
        <t>Loan: CCG - Commercial Credit Group, AMORTIZING. Principal = MIN(Opening, Payment - Interest).</t>
      </text>
    </comment>
    <comment ref="F27" authorId="0" shapeId="0">
      <text>
        <t>Loan: CCG - Commercial Credit Group, AMORTIZING. Closing = Opening - Principal.</t>
      </text>
    </comment>
    <comment ref="C28" authorId="0" shapeId="0">
      <text>
        <t>Loan: CCG - Commercial Credit Group, AMORTIZING. Prior month closing balance.</t>
      </text>
    </comment>
    <comment ref="D28" authorId="0" shapeId="0">
      <text>
        <t>Loan: CCG - Commercial Credit Group, AMORTIZING. Interest = Opening * Annual Rate / 12.</t>
      </text>
    </comment>
    <comment ref="E28" authorId="0" shapeId="0">
      <text>
        <t>Loan: CCG - Commercial Credit Group, AMORTIZING. Principal = MIN(Opening, Payment - Interest).</t>
      </text>
    </comment>
    <comment ref="F28" authorId="0" shapeId="0">
      <text>
        <t>Loan: CCG - Commercial Credit Group, AMORTIZING. Closing = Opening - Principal.</t>
      </text>
    </comment>
    <comment ref="C29" authorId="0" shapeId="0">
      <text>
        <t>Loan: CCG - Commercial Credit Group, AMORTIZING. Prior month closing balance.</t>
      </text>
    </comment>
    <comment ref="D29" authorId="0" shapeId="0">
      <text>
        <t>Loan: CCG - Commercial Credit Group, AMORTIZING. Interest = Opening * Annual Rate / 12.</t>
      </text>
    </comment>
    <comment ref="E29" authorId="0" shapeId="0">
      <text>
        <t>Loan: CCG - Commercial Credit Group, AMORTIZING. Principal = MIN(Opening, Payment - Interest).</t>
      </text>
    </comment>
    <comment ref="F29" authorId="0" shapeId="0">
      <text>
        <t>Loan: CCG - Commercial Credit Group, AMORTIZING. Closing = Opening - Principal.</t>
      </text>
    </comment>
    <comment ref="C30" authorId="0" shapeId="0">
      <text>
        <t>Loan: CCG - Commercial Credit Group, AMORTIZING. Prior month closing balance.</t>
      </text>
    </comment>
    <comment ref="D30" authorId="0" shapeId="0">
      <text>
        <t>Loan: CCG - Commercial Credit Group, AMORTIZING. Interest = Opening * Annual Rate / 12.</t>
      </text>
    </comment>
    <comment ref="E30" authorId="0" shapeId="0">
      <text>
        <t>Loan: CCG - Commercial Credit Group, AMORTIZING. Principal = MIN(Opening, Payment - Interest).</t>
      </text>
    </comment>
    <comment ref="F30" authorId="0" shapeId="0">
      <text>
        <t>Loan: CCG - Commercial Credit Group, AMORTIZING. Closing = Opening - Principal.</t>
      </text>
    </comment>
    <comment ref="C31" authorId="0" shapeId="0">
      <text>
        <t>Loan: CCG - Commercial Credit Group, AMORTIZING. Prior month closing balance.</t>
      </text>
    </comment>
    <comment ref="D31" authorId="0" shapeId="0">
      <text>
        <t>Loan: CCG - Commercial Credit Group, AMORTIZING. Interest = Opening * Annual Rate / 12.</t>
      </text>
    </comment>
    <comment ref="E31" authorId="0" shapeId="0">
      <text>
        <t>Loan: CCG - Commercial Credit Group, AMORTIZING. Principal = MIN(Opening, Payment - Interest).</t>
      </text>
    </comment>
    <comment ref="F31" authorId="0" shapeId="0">
      <text>
        <t>Loan: CCG - Commercial Credit Group, AMORTIZING. Closing = Opening - Principal.</t>
      </text>
    </comment>
    <comment ref="C32" authorId="0" shapeId="0">
      <text>
        <t>Loan: CCG - Commercial Credit Group, AMORTIZING. Prior month closing balance.</t>
      </text>
    </comment>
    <comment ref="D32" authorId="0" shapeId="0">
      <text>
        <t>Loan: CCG - Commercial Credit Group, AMORTIZING. Interest = Opening * Annual Rate / 12.</t>
      </text>
    </comment>
    <comment ref="E32" authorId="0" shapeId="0">
      <text>
        <t>Loan: CCG - Commercial Credit Group, AMORTIZING. Principal = MIN(Opening, Payment - Interest).</t>
      </text>
    </comment>
    <comment ref="F32" authorId="0" shapeId="0">
      <text>
        <t>Loan: CCG - Commercial Credit Group, AMORTIZING. Closing = Opening - Principal.</t>
      </text>
    </comment>
    <comment ref="C33" authorId="0" shapeId="0">
      <text>
        <t>Loan: CCG - Commercial Credit Group, AMORTIZING. Prior month closing balance.</t>
      </text>
    </comment>
    <comment ref="D33" authorId="0" shapeId="0">
      <text>
        <t>Loan: CCG - Commercial Credit Group, AMORTIZING. Interest = Opening * Annual Rate / 12.</t>
      </text>
    </comment>
    <comment ref="E33" authorId="0" shapeId="0">
      <text>
        <t>Loan: CCG - Commercial Credit Group, AMORTIZING. Principal = MIN(Opening, Payment - Interest).</t>
      </text>
    </comment>
    <comment ref="F33" authorId="0" shapeId="0">
      <text>
        <t>Loan: CCG - Commercial Credit Group, AMORTIZING. Closing = Opening - Principal.</t>
      </text>
    </comment>
    <comment ref="C34" authorId="0" shapeId="0">
      <text>
        <t>Loan: CCG - Commercial Credit Group, AMORTIZING. Prior month closing balance.</t>
      </text>
    </comment>
    <comment ref="D34" authorId="0" shapeId="0">
      <text>
        <t>Loan: CCG - Commercial Credit Group, AMORTIZING. Interest = Opening * Annual Rate / 12.</t>
      </text>
    </comment>
    <comment ref="E34" authorId="0" shapeId="0">
      <text>
        <t>Loan: CCG - Commercial Credit Group, AMORTIZING. Principal = MIN(Opening, Payment - Interest).</t>
      </text>
    </comment>
    <comment ref="F34" authorId="0" shapeId="0">
      <text>
        <t>Loan: CCG - Commercial Credit Group, AMORTIZING. Closing = Opening - Principal.</t>
      </text>
    </comment>
    <comment ref="C35" authorId="0" shapeId="0">
      <text>
        <t>Loan: CCG - Commercial Credit Group, AMORTIZING. Prior month closing balance.</t>
      </text>
    </comment>
    <comment ref="D35" authorId="0" shapeId="0">
      <text>
        <t>Loan: CCG - Commercial Credit Group, AMORTIZING. Interest = Opening * Annual Rate / 12.</t>
      </text>
    </comment>
    <comment ref="E35" authorId="0" shapeId="0">
      <text>
        <t>Loan: CCG - Commercial Credit Group, AMORTIZING. Principal = MIN(Opening, Payment - Interest).</t>
      </text>
    </comment>
    <comment ref="F35" authorId="0" shapeId="0">
      <text>
        <t>Loan: CCG - Commercial Credit Group, AMORTIZING. Closing = Opening - Principal.</t>
      </text>
    </comment>
    <comment ref="C36" authorId="0" shapeId="0">
      <text>
        <t>Loan: CCG - Commercial Credit Group, AMORTIZING. Prior month closing balance.</t>
      </text>
    </comment>
    <comment ref="D36" authorId="0" shapeId="0">
      <text>
        <t>Loan: CCG - Commercial Credit Group, AMORTIZING. Interest = Opening * Annual Rate / 12.</t>
      </text>
    </comment>
    <comment ref="E36" authorId="0" shapeId="0">
      <text>
        <t>Loan: CCG - Commercial Credit Group, AMORTIZING. Principal = MIN(Opening, Payment - Interest).</t>
      </text>
    </comment>
    <comment ref="F36" authorId="0" shapeId="0">
      <text>
        <t>Loan: CCG - Commercial Credit Group, AMORTIZING. Closing = Opening - Principal.</t>
      </text>
    </comment>
    <comment ref="C37" authorId="0" shapeId="0">
      <text>
        <t>Loan: CCG - Commercial Credit Group, AMORTIZING. Prior month closing balance.</t>
      </text>
    </comment>
    <comment ref="D37" authorId="0" shapeId="0">
      <text>
        <t>Loan: CCG - Commercial Credit Group, AMORTIZING. Interest = Opening * Annual Rate / 12.</t>
      </text>
    </comment>
    <comment ref="E37" authorId="0" shapeId="0">
      <text>
        <t>Loan: CCG - Commercial Credit Group, AMORTIZING. Principal = MIN(Opening, Payment - Interest).</t>
      </text>
    </comment>
    <comment ref="F37" authorId="0" shapeId="0">
      <text>
        <t>Loan: CCG - Commercial Credit Group, AMORTIZING. Closing = Opening - Principal.</t>
      </text>
    </comment>
    <comment ref="C38" authorId="0" shapeId="0">
      <text>
        <t>Loan: CCG - Commercial Credit Group, AMORTIZING. Prior month closing balance.</t>
      </text>
    </comment>
    <comment ref="D38" authorId="0" shapeId="0">
      <text>
        <t>Loan: CCG - Commercial Credit Group, AMORTIZING. Interest = Opening * Annual Rate / 12.</t>
      </text>
    </comment>
    <comment ref="E38" authorId="0" shapeId="0">
      <text>
        <t>Loan: CCG - Commercial Credit Group, AMORTIZING. Principal = MIN(Opening, Payment - Interest).</t>
      </text>
    </comment>
    <comment ref="F38" authorId="0" shapeId="0">
      <text>
        <t>Loan: CCG - Commercial Credit Group, AMORTIZING. Closing = Opening - Principal.</t>
      </text>
    </comment>
    <comment ref="C39" authorId="0" shapeId="0">
      <text>
        <t>Loan: CCG - Commercial Credit Group, AMORTIZING. Prior month closing balance.</t>
      </text>
    </comment>
    <comment ref="D39" authorId="0" shapeId="0">
      <text>
        <t>Loan: CCG - Commercial Credit Group, AMORTIZING. Interest = Opening * Annual Rate / 12.</t>
      </text>
    </comment>
    <comment ref="E39" authorId="0" shapeId="0">
      <text>
        <t>Loan: CCG - Commercial Credit Group, AMORTIZING. Principal = MIN(Opening, Payment - Interest).</t>
      </text>
    </comment>
    <comment ref="F39" authorId="0" shapeId="0">
      <text>
        <t>Loan: CCG - Commercial Credit Group, AMORTIZING. Closing = Opening - Principal.</t>
      </text>
    </comment>
    <comment ref="C40" authorId="0" shapeId="0">
      <text>
        <t>Loan: CCG - Commercial Credit Group, AMORTIZING. Prior month closing balance.</t>
      </text>
    </comment>
    <comment ref="D40" authorId="0" shapeId="0">
      <text>
        <t>Loan: CCG - Commercial Credit Group, AMORTIZING. Interest = Opening * Annual Rate / 12.</t>
      </text>
    </comment>
    <comment ref="E40" authorId="0" shapeId="0">
      <text>
        <t>Loan: CCG - Commercial Credit Group, AMORTIZING. Principal = MIN(Opening, Payment - Interest).</t>
      </text>
    </comment>
    <comment ref="F40" authorId="0" shapeId="0">
      <text>
        <t>Loan: CCG - Commercial Credit Group, AMORTIZING. Closing = Opening - Principal.</t>
      </text>
    </comment>
    <comment ref="C41" authorId="0" shapeId="0">
      <text>
        <t>Loan: CCG - Commercial Credit Group, AMORTIZING. Prior month closing balance.</t>
      </text>
    </comment>
    <comment ref="D41" authorId="0" shapeId="0">
      <text>
        <t>Loan: CCG - Commercial Credit Group, AMORTIZING. Interest = Opening * Annual Rate / 12.</t>
      </text>
    </comment>
    <comment ref="E41" authorId="0" shapeId="0">
      <text>
        <t>Loan: CCG - Commercial Credit Group, AMORTIZING. Principal = MIN(Opening, Payment - Interest).</t>
      </text>
    </comment>
    <comment ref="F41" authorId="0" shapeId="0">
      <text>
        <t>Loan: CCG - Commercial Credit Group, AMORTIZING. Closing = Opening - Principal.</t>
      </text>
    </comment>
    <comment ref="C42" authorId="0" shapeId="0">
      <text>
        <t>Loan: CCG - Commercial Credit Group, AMORTIZING. Prior month closing balance.</t>
      </text>
    </comment>
    <comment ref="D42" authorId="0" shapeId="0">
      <text>
        <t>Loan: CCG - Commercial Credit Group, AMORTIZING. Interest = Opening * Annual Rate / 12.</t>
      </text>
    </comment>
    <comment ref="E42" authorId="0" shapeId="0">
      <text>
        <t>Loan: CCG - Commercial Credit Group, AMORTIZING. Principal = MIN(Opening, Payment - Interest).</t>
      </text>
    </comment>
    <comment ref="F42" authorId="0" shapeId="0">
      <text>
        <t>Loan: CCG - Commercial Credit Group, AMORTIZING. Closing = Opening - Principal.</t>
      </text>
    </comment>
    <comment ref="C43" authorId="0" shapeId="0">
      <text>
        <t>Loan: CCG - Commercial Credit Group, AMORTIZING. Prior month closing balance.</t>
      </text>
    </comment>
    <comment ref="D43" authorId="0" shapeId="0">
      <text>
        <t>Loan: CCG - Commercial Credit Group, AMORTIZING. Interest = Opening * Annual Rate / 12.</t>
      </text>
    </comment>
    <comment ref="E43" authorId="0" shapeId="0">
      <text>
        <t>Loan: CCG - Commercial Credit Group, AMORTIZING. Principal = MIN(Opening, Payment - Interest).</t>
      </text>
    </comment>
    <comment ref="F43" authorId="0" shapeId="0">
      <text>
        <t>Loan: CCG - Commercial Credit Group, AMORTIZING. Closing = Opening - Principal.</t>
      </text>
    </comment>
    <comment ref="C44" authorId="0" shapeId="0">
      <text>
        <t>Loan: CCG - Commercial Credit Group, AMORTIZING. Prior month closing balance.</t>
      </text>
    </comment>
    <comment ref="D44" authorId="0" shapeId="0">
      <text>
        <t>Loan: CCG - Commercial Credit Group, AMORTIZING. Interest = Opening * Annual Rate / 12.</t>
      </text>
    </comment>
    <comment ref="E44" authorId="0" shapeId="0">
      <text>
        <t>Loan: CCG - Commercial Credit Group, AMORTIZING. Principal = MIN(Opening, Payment - Interest).</t>
      </text>
    </comment>
    <comment ref="F44" authorId="0" shapeId="0">
      <text>
        <t>Loan: CCG - Commercial Credit Group, AMORTIZING. Closing = Opening - Principal.</t>
      </text>
    </comment>
    <comment ref="C45" authorId="0" shapeId="0">
      <text>
        <t>Loan: CCG - Commercial Credit Group, AMORTIZING. Prior month closing balance.</t>
      </text>
    </comment>
    <comment ref="D45" authorId="0" shapeId="0">
      <text>
        <t>Loan: CCG - Commercial Credit Group, AMORTIZING. Interest = Opening * Annual Rate / 12.</t>
      </text>
    </comment>
    <comment ref="E45" authorId="0" shapeId="0">
      <text>
        <t>Loan: CCG - Commercial Credit Group, AMORTIZING. Principal = MIN(Opening, Payment - Interest).</t>
      </text>
    </comment>
    <comment ref="F45" authorId="0" shapeId="0">
      <text>
        <t>Loan: CCG - Commercial Credit Group, AMORTIZING. Closing = Opening - Principal.</t>
      </text>
    </comment>
    <comment ref="C46" authorId="0" shapeId="0">
      <text>
        <t>Loan: CCG - Commercial Credit Group, AMORTIZING. Prior month closing balance.</t>
      </text>
    </comment>
    <comment ref="D46" authorId="0" shapeId="0">
      <text>
        <t>Loan: CCG - Commercial Credit Group, AMORTIZING. Interest = Opening * Annual Rate / 12.</t>
      </text>
    </comment>
    <comment ref="E46" authorId="0" shapeId="0">
      <text>
        <t>Loan: CCG - Commercial Credit Group, AMORTIZING. Principal = MIN(Opening, Payment - Interest).</t>
      </text>
    </comment>
    <comment ref="F46" authorId="0" shapeId="0">
      <text>
        <t>Loan: CCG - Commercial Credit Group, AMORTIZING. Closing = Opening - Principal.</t>
      </text>
    </comment>
    <comment ref="C47" authorId="0" shapeId="0">
      <text>
        <t>Loan: CCG - Commercial Credit Group, AMORTIZING. Prior month closing balance.</t>
      </text>
    </comment>
    <comment ref="D47" authorId="0" shapeId="0">
      <text>
        <t>Loan: CCG - Commercial Credit Group, AMORTIZING. Interest = Opening * Annual Rate / 12.</t>
      </text>
    </comment>
    <comment ref="E47" authorId="0" shapeId="0">
      <text>
        <t>Loan: CCG - Commercial Credit Group, AMORTIZING. Principal = MIN(Opening, Payment - Interest).</t>
      </text>
    </comment>
    <comment ref="F47" authorId="0" shapeId="0">
      <text>
        <t>Loan: CCG - Commercial Credit Group, AMORTIZING. Closing = Opening - Principal.</t>
      </text>
    </comment>
    <comment ref="C48" authorId="0" shapeId="0">
      <text>
        <t>Loan: CCG - Commercial Credit Group, AMORTIZING. Prior month closing balance.</t>
      </text>
    </comment>
    <comment ref="D48" authorId="0" shapeId="0">
      <text>
        <t>Loan: CCG - Commercial Credit Group, AMORTIZING. Interest = Opening * Annual Rate / 12.</t>
      </text>
    </comment>
    <comment ref="E48" authorId="0" shapeId="0">
      <text>
        <t>Loan: CCG - Commercial Credit Group, AMORTIZING. Principal = MIN(Opening, Payment - Interest).</t>
      </text>
    </comment>
    <comment ref="F48" authorId="0" shapeId="0">
      <text>
        <t>Loan: CCG - Commercial Credit Group, AMORTIZING. Closing = Opening - Principal.</t>
      </text>
    </comment>
    <comment ref="C49" authorId="0" shapeId="0">
      <text>
        <t>Loan: CCG - Commercial Credit Group, AMORTIZING. Prior month closing balance.</t>
      </text>
    </comment>
    <comment ref="D49" authorId="0" shapeId="0">
      <text>
        <t>Loan: CCG - Commercial Credit Group, AMORTIZING. Interest = Opening * Annual Rate / 12.</t>
      </text>
    </comment>
    <comment ref="E49" authorId="0" shapeId="0">
      <text>
        <t>Loan: CCG - Commercial Credit Group, AMORTIZING. Principal = MIN(Opening, Payment - Interest).</t>
      </text>
    </comment>
    <comment ref="F49" authorId="0" shapeId="0">
      <text>
        <t>Loan: CCG - Commercial Credit Group, AMORTIZING. Closing = Opening - Principal.</t>
      </text>
    </comment>
    <comment ref="C50" authorId="0" shapeId="0">
      <text>
        <t>Loan: CCG - Commercial Credit Group, AMORTIZING. Prior month closing balance.</t>
      </text>
    </comment>
    <comment ref="D50" authorId="0" shapeId="0">
      <text>
        <t>Loan: CCG - Commercial Credit Group, AMORTIZING. Interest = Opening * Annual Rate / 12.</t>
      </text>
    </comment>
    <comment ref="E50" authorId="0" shapeId="0">
      <text>
        <t>Loan: CCG - Commercial Credit Group, AMORTIZING. Principal = MIN(Opening, Payment - Interest).</t>
      </text>
    </comment>
    <comment ref="F50" authorId="0" shapeId="0">
      <text>
        <t>Loan: CCG - Commercial Credit Group, AMORTIZING. Closing = Opening - Principal.</t>
      </text>
    </comment>
    <comment ref="C51" authorId="0" shapeId="0">
      <text>
        <t>Loan: CCG - Commercial Credit Group, AMORTIZING. Prior month closing balance.</t>
      </text>
    </comment>
    <comment ref="D51" authorId="0" shapeId="0">
      <text>
        <t>Loan: CCG - Commercial Credit Group, AMORTIZING. Interest = Opening * Annual Rate / 12.</t>
      </text>
    </comment>
    <comment ref="E51" authorId="0" shapeId="0">
      <text>
        <t>Loan: CCG - Commercial Credit Group, AMORTIZING. Principal = MIN(Opening, Payment - Interest).</t>
      </text>
    </comment>
    <comment ref="F51" authorId="0" shapeId="0">
      <text>
        <t>Loan: CCG - Commercial Credit Group, AMORTIZING. Closing = Opening - Principal.</t>
      </text>
    </comment>
    <comment ref="C52" authorId="0" shapeId="0">
      <text>
        <t>Loan: CCG - Commercial Credit Group, AMORTIZING. Prior month closing balance.</t>
      </text>
    </comment>
    <comment ref="D52" authorId="0" shapeId="0">
      <text>
        <t>Loan: CCG - Commercial Credit Group, AMORTIZING. Interest = Opening * Annual Rate / 12.</t>
      </text>
    </comment>
    <comment ref="E52" authorId="0" shapeId="0">
      <text>
        <t>Loan: CCG - Commercial Credit Group, AMORTIZING. Principal = MIN(Opening, Payment - Interest).</t>
      </text>
    </comment>
    <comment ref="F52" authorId="0" shapeId="0">
      <text>
        <t>Loan: CCG - Commercial Credit Group, AMORTIZING. Closing = Opening - Principal.</t>
      </text>
    </comment>
    <comment ref="C53" authorId="0" shapeId="0">
      <text>
        <t>Loan: CCG - Commercial Credit Group, AMORTIZING. Prior month closing balance.</t>
      </text>
    </comment>
    <comment ref="D53" authorId="0" shapeId="0">
      <text>
        <t>Loan: CCG - Commercial Credit Group, AMORTIZING. Interest = Opening * Annual Rate / 12.</t>
      </text>
    </comment>
    <comment ref="E53" authorId="0" shapeId="0">
      <text>
        <t>Loan: CCG - Commercial Credit Group, AMORTIZING. Principal = MIN(Opening, Payment - Interest).</t>
      </text>
    </comment>
    <comment ref="F53" authorId="0" shapeId="0">
      <text>
        <t>Loan: CCG - Commercial Credit Group, AMORTIZING. Closing = Opening - Principal.</t>
      </text>
    </comment>
    <comment ref="C54" authorId="0" shapeId="0">
      <text>
        <t>Loan: CCG - Commercial Credit Group, AMORTIZING. Prior month closing balance.</t>
      </text>
    </comment>
    <comment ref="D54" authorId="0" shapeId="0">
      <text>
        <t>Loan: CCG - Commercial Credit Group, AMORTIZING. Interest = Opening * Annual Rate / 12.</t>
      </text>
    </comment>
    <comment ref="E54" authorId="0" shapeId="0">
      <text>
        <t>Loan: CCG - Commercial Credit Group, AMORTIZING. Principal = MIN(Opening, Payment - Interest).</t>
      </text>
    </comment>
    <comment ref="F54" authorId="0" shapeId="0">
      <text>
        <t>Loan: CCG - Commercial Credit Group, AMORTIZING. Closing = Opening - Principal.</t>
      </text>
    </comment>
    <comment ref="C55" authorId="0" shapeId="0">
      <text>
        <t>Loan: CCG - Commercial Credit Group, AMORTIZING. Prior month closing balance.</t>
      </text>
    </comment>
    <comment ref="D55" authorId="0" shapeId="0">
      <text>
        <t>Loan: CCG - Commercial Credit Group, AMORTIZING. Interest = Opening * Annual Rate / 12.</t>
      </text>
    </comment>
    <comment ref="E55" authorId="0" shapeId="0">
      <text>
        <t>Loan: CCG - Commercial Credit Group, AMORTIZING. Principal = MIN(Opening, Payment - Interest).</t>
      </text>
    </comment>
    <comment ref="F55" authorId="0" shapeId="0">
      <text>
        <t>Loan: CCG - Commercial Credit Group, AMORTIZING. Closing = Opening - Principal.</t>
      </text>
    </comment>
    <comment ref="C56" authorId="0" shapeId="0">
      <text>
        <t>Loan: CCG - Commercial Credit Group, AMORTIZING. Prior month closing balance.</t>
      </text>
    </comment>
    <comment ref="D56" authorId="0" shapeId="0">
      <text>
        <t>Loan: CCG - Commercial Credit Group, AMORTIZING. Interest = Opening * Annual Rate / 12.</t>
      </text>
    </comment>
    <comment ref="E56" authorId="0" shapeId="0">
      <text>
        <t>Loan: CCG - Commercial Credit Group, AMORTIZING. Principal = MIN(Opening, Payment - Interest).</t>
      </text>
    </comment>
    <comment ref="F56" authorId="0" shapeId="0">
      <text>
        <t>Loan: CCG - Commercial Credit Group, AMORTIZING. Closing = Opening - Principal.</t>
      </text>
    </comment>
    <comment ref="C57" authorId="0" shapeId="0">
      <text>
        <t>Loan: CCG - Commercial Credit Group, AMORTIZING. Prior month closing balance.</t>
      </text>
    </comment>
    <comment ref="D57" authorId="0" shapeId="0">
      <text>
        <t>Loan: CCG - Commercial Credit Group, AMORTIZING. Interest = Opening * Annual Rate / 12.</t>
      </text>
    </comment>
    <comment ref="E57" authorId="0" shapeId="0">
      <text>
        <t>Loan: CCG - Commercial Credit Group, AMORTIZING. Principal = MIN(Opening, Payment - Interest).</t>
      </text>
    </comment>
    <comment ref="F57" authorId="0" shapeId="0">
      <text>
        <t>Loan: CCG - Commercial Credit Group, AMORTIZING. Closing = Opening - Principal.</t>
      </text>
    </comment>
    <comment ref="C58" authorId="0" shapeId="0">
      <text>
        <t>Loan: CCG - Commercial Credit Group, AMORTIZING. Prior month closing balance.</t>
      </text>
    </comment>
    <comment ref="D58" authorId="0" shapeId="0">
      <text>
        <t>Loan: CCG - Commercial Credit Group, AMORTIZING. Interest = Opening * Annual Rate / 12.</t>
      </text>
    </comment>
    <comment ref="E58" authorId="0" shapeId="0">
      <text>
        <t>Loan: CCG - Commercial Credit Group, AMORTIZING. Principal = MIN(Opening, Payment - Interest).</t>
      </text>
    </comment>
    <comment ref="F58" authorId="0" shapeId="0">
      <text>
        <t>Loan: CCG - Commercial Credit Group, AMORTIZING. Closing = Opening - Principal.</t>
      </text>
    </comment>
    <comment ref="C59" authorId="0" shapeId="0">
      <text>
        <t>Loan: CCG - Commercial Credit Group, AMORTIZING. Prior month closing balance.</t>
      </text>
    </comment>
    <comment ref="D59" authorId="0" shapeId="0">
      <text>
        <t>Loan: CCG - Commercial Credit Group, AMORTIZING. Interest = Opening * Annual Rate / 12.</t>
      </text>
    </comment>
    <comment ref="E59" authorId="0" shapeId="0">
      <text>
        <t>Loan: CCG - Commercial Credit Group, AMORTIZING. Principal = MIN(Opening, Payment - Interest).</t>
      </text>
    </comment>
    <comment ref="F59" authorId="0" shapeId="0">
      <text>
        <t>Loan: CCG - Commercial Credit Group, AMORTIZING. Closing = Opening - Principal.</t>
      </text>
    </comment>
    <comment ref="C60" authorId="0" shapeId="0">
      <text>
        <t>Loan: CCG - Commercial Credit Group, AMORTIZING. Prior month closing balance.</t>
      </text>
    </comment>
    <comment ref="D60" authorId="0" shapeId="0">
      <text>
        <t>Loan: CCG - Commercial Credit Group, AMORTIZING. Interest = Opening * Annual Rate / 12.</t>
      </text>
    </comment>
    <comment ref="E60" authorId="0" shapeId="0">
      <text>
        <t>Loan: CCG - Commercial Credit Group, AMORTIZING. Principal = MIN(Opening, Payment - Interest).</t>
      </text>
    </comment>
    <comment ref="F60" authorId="0" shapeId="0">
      <text>
        <t>Loan: CCG - Commercial Credit Group, AMORTIZING. Closing = Opening - Principal.</t>
      </text>
    </comment>
    <comment ref="C61" authorId="0" shapeId="0">
      <text>
        <t>Loan: CCG - Commercial Credit Group, AMORTIZING. Prior month closing balance.</t>
      </text>
    </comment>
    <comment ref="D61" authorId="0" shapeId="0">
      <text>
        <t>Loan: CCG - Commercial Credit Group, AMORTIZING. Interest = Opening * Annual Rate / 12.</t>
      </text>
    </comment>
    <comment ref="E61" authorId="0" shapeId="0">
      <text>
        <t>Loan: CCG - Commercial Credit Group, AMORTIZING. Principal = MIN(Opening, Payment - Interest).</t>
      </text>
    </comment>
    <comment ref="F61" authorId="0" shapeId="0">
      <text>
        <t>Loan: CCG - Commercial Credit Group, AMORTIZING. Closing = Opening - Principal.</t>
      </text>
    </comment>
    <comment ref="C62" authorId="0" shapeId="0">
      <text>
        <t>Loan: CCG - Commercial Credit Group, AMORTIZING. Prior month closing balance.</t>
      </text>
    </comment>
    <comment ref="D62" authorId="0" shapeId="0">
      <text>
        <t>Loan: CCG - Commercial Credit Group, AMORTIZING. Interest = Opening * Annual Rate / 12.</t>
      </text>
    </comment>
    <comment ref="E62" authorId="0" shapeId="0">
      <text>
        <t>Loan: CCG - Commercial Credit Group, AMORTIZING. Principal = MIN(Opening, Payment - Interest).</t>
      </text>
    </comment>
    <comment ref="F62" authorId="0" shapeId="0">
      <text>
        <t>Loan: CCG - Commercial Credit Group, AMORTIZING. Closing = Opening - Principal.</t>
      </text>
    </comment>
    <comment ref="C63" authorId="0" shapeId="0">
      <text>
        <t>Loan: CCG - Commercial Credit Group, AMORTIZING. Prior month closing balance.</t>
      </text>
    </comment>
    <comment ref="D63" authorId="0" shapeId="0">
      <text>
        <t>Loan: CCG - Commercial Credit Group, AMORTIZING. Interest = Opening * Annual Rate / 12.</t>
      </text>
    </comment>
    <comment ref="E63" authorId="0" shapeId="0">
      <text>
        <t>Loan: CCG - Commercial Credit Group, AMORTIZING. Principal = MIN(Opening, Payment - Interest).</t>
      </text>
    </comment>
    <comment ref="F63" authorId="0" shapeId="0">
      <text>
        <t>Loan: CCG - Commercial Credit Group, AMORTIZING. Closing = Opening - Principal.</t>
      </text>
    </comment>
    <comment ref="C64" authorId="0" shapeId="0">
      <text>
        <t>Loan: CCG - Commercial Credit Group, AMORTIZING. Prior month closing balance.</t>
      </text>
    </comment>
    <comment ref="D64" authorId="0" shapeId="0">
      <text>
        <t>Loan: CCG - Commercial Credit Group, AMORTIZING. Interest = Opening * Annual Rate / 12.</t>
      </text>
    </comment>
    <comment ref="E64" authorId="0" shapeId="0">
      <text>
        <t>Loan: CCG - Commercial Credit Group, AMORTIZING. Principal = MIN(Opening, Payment - Interest).</t>
      </text>
    </comment>
    <comment ref="F64" authorId="0" shapeId="0">
      <text>
        <t>Loan: CCG - Commercial Credit Group, AMORTIZING. Closing = Opening - Principal.</t>
      </text>
    </comment>
    <comment ref="C65" authorId="0" shapeId="0">
      <text>
        <t>Loan: CCG - Commercial Credit Group, AMORTIZING. Prior month closing balance.</t>
      </text>
    </comment>
    <comment ref="D65" authorId="0" shapeId="0">
      <text>
        <t>Loan: CCG - Commercial Credit Group, AMORTIZING. Interest = Opening * Annual Rate / 12.</t>
      </text>
    </comment>
    <comment ref="E65" authorId="0" shapeId="0">
      <text>
        <t>Loan: CCG - Commercial Credit Group, AMORTIZING. Principal = MIN(Opening, Payment - Interest).</t>
      </text>
    </comment>
    <comment ref="F65" authorId="0" shapeId="0">
      <text>
        <t>Loan: CCG - Commercial Credit Group, AMORTIZING. Closing = Opening - Principal.</t>
      </text>
    </comment>
    <comment ref="C66" authorId="0" shapeId="0">
      <text>
        <t>Loan: CCG - Commercial Credit Group, AMORTIZING. Prior month closing balance.</t>
      </text>
    </comment>
    <comment ref="D66" authorId="0" shapeId="0">
      <text>
        <t>Loan: CCG - Commercial Credit Group, AMORTIZING. Interest = Opening * Annual Rate / 12.</t>
      </text>
    </comment>
    <comment ref="E66" authorId="0" shapeId="0">
      <text>
        <t>Loan: CCG - Commercial Credit Group, AMORTIZING. Principal = MIN(Opening, Payment - Interest).</t>
      </text>
    </comment>
    <comment ref="F66" authorId="0" shapeId="0">
      <text>
        <t>Loan: CCG - Commercial Credit Group, AMORTIZING. Closing = Opening - Principal.</t>
      </text>
    </comment>
    <comment ref="C67" authorId="0" shapeId="0">
      <text>
        <t>Loan: CCG - Commercial Credit Group, AMORTIZING. Prior month closing balance.</t>
      </text>
    </comment>
    <comment ref="D67" authorId="0" shapeId="0">
      <text>
        <t>Loan: CCG - Commercial Credit Group, AMORTIZING. Interest = Opening * Annual Rate / 12.</t>
      </text>
    </comment>
    <comment ref="E67" authorId="0" shapeId="0">
      <text>
        <t>Loan: CCG - Commercial Credit Group, AMORTIZING. Principal = MIN(Opening, Payment - Interest).</t>
      </text>
    </comment>
    <comment ref="F67" authorId="0" shapeId="0">
      <text>
        <t>Loan: CCG - Commercial Credit Group, AMORTIZING. Closing = Opening - Principal.</t>
      </text>
    </comment>
    <comment ref="C68" authorId="0" shapeId="0">
      <text>
        <t>Loan: CCG - Commercial Credit Group, AMORTIZING. Prior month closing balance.</t>
      </text>
    </comment>
    <comment ref="D68" authorId="0" shapeId="0">
      <text>
        <t>Loan: CCG - Commercial Credit Group, AMORTIZING. Interest = Opening * Annual Rate / 12.</t>
      </text>
    </comment>
    <comment ref="E68" authorId="0" shapeId="0">
      <text>
        <t>Loan: CCG - Commercial Credit Group, AMORTIZING. Principal = MIN(Opening, Payment - Interest).</t>
      </text>
    </comment>
    <comment ref="F68" authorId="0" shapeId="0">
      <text>
        <t>Loan: CCG - Commercial Credit Group, AMORTIZING. Closing = Opening - Principal.</t>
      </text>
    </comment>
    <comment ref="C69" authorId="0" shapeId="0">
      <text>
        <t>Loan: CCG - Commercial Credit Group, AMORTIZING. Prior month closing balance.</t>
      </text>
    </comment>
    <comment ref="D69" authorId="0" shapeId="0">
      <text>
        <t>Loan: CCG - Commercial Credit Group, AMORTIZING. Interest = Opening * Annual Rate / 12.</t>
      </text>
    </comment>
    <comment ref="E69" authorId="0" shapeId="0">
      <text>
        <t>Loan: CCG - Commercial Credit Group, AMORTIZING. Principal = MIN(Opening, Payment - Interest).</t>
      </text>
    </comment>
    <comment ref="F69" authorId="0" shapeId="0">
      <text>
        <t>Loan: CCG - Commercial Credit Group, AMORTIZING. Closing = Opening - Principal.</t>
      </text>
    </comment>
    <comment ref="C70" authorId="0" shapeId="0">
      <text>
        <t>Loan: CCG - Commercial Credit Group, AMORTIZING. Prior month closing balance.</t>
      </text>
    </comment>
    <comment ref="D70" authorId="0" shapeId="0">
      <text>
        <t>Loan: CCG - Commercial Credit Group, AMORTIZING. Interest = Opening * Annual Rate / 12.</t>
      </text>
    </comment>
    <comment ref="E70" authorId="0" shapeId="0">
      <text>
        <t>Loan: CCG - Commercial Credit Group, AMORTIZING. Principal = MIN(Opening, Payment - Interest).</t>
      </text>
    </comment>
    <comment ref="F70" authorId="0" shapeId="0">
      <text>
        <t>Loan: CCG - Commercial Credit Group, AMORTIZING. Closing = Opening - Principal.</t>
      </text>
    </comment>
    <comment ref="C71" authorId="0" shapeId="0">
      <text>
        <t>Loan: CCG - Commercial Credit Group, AMORTIZING. Prior month closing balance.</t>
      </text>
    </comment>
    <comment ref="D71" authorId="0" shapeId="0">
      <text>
        <t>Loan: CCG - Commercial Credit Group, AMORTIZING. Interest = Opening * Annual Rate / 12.</t>
      </text>
    </comment>
    <comment ref="E71" authorId="0" shapeId="0">
      <text>
        <t>Loan: CCG - Commercial Credit Group, AMORTIZING. Principal = MIN(Opening, Payment - Interest).</t>
      </text>
    </comment>
    <comment ref="F71" authorId="0" shapeId="0">
      <text>
        <t>Loan: CCG - Commercial Credit Group, AMORTIZING. Closing = Opening - Principal.</t>
      </text>
    </comment>
    <comment ref="C72" authorId="0" shapeId="0">
      <text>
        <t>Loan: CCG - Commercial Credit Group, AMORTIZING. Prior month closing balance.</t>
      </text>
    </comment>
    <comment ref="D72" authorId="0" shapeId="0">
      <text>
        <t>Loan: CCG - Commercial Credit Group, AMORTIZING. Interest = Opening * Annual Rate / 12.</t>
      </text>
    </comment>
    <comment ref="E72" authorId="0" shapeId="0">
      <text>
        <t>Loan: CCG - Commercial Credit Group, AMORTIZING. Principal = MIN(Opening, Payment - Interest).</t>
      </text>
    </comment>
    <comment ref="F72" authorId="0" shapeId="0">
      <text>
        <t>Loan: CCG - Commercial Credit Group, AMORTIZING. Closing = Opening - Principal.</t>
      </text>
    </comment>
    <comment ref="C73" authorId="0" shapeId="0">
      <text>
        <t>Loan: CCG - Commercial Credit Group, AMORTIZING. Prior month closing balance.</t>
      </text>
    </comment>
    <comment ref="D73" authorId="0" shapeId="0">
      <text>
        <t>Loan: CCG - Commercial Credit Group, AMORTIZING. Interest = Opening * Annual Rate / 12.</t>
      </text>
    </comment>
    <comment ref="E73" authorId="0" shapeId="0">
      <text>
        <t>Loan: CCG - Commercial Credit Group, AMORTIZING. Principal = MIN(Opening, Payment - Interest).</t>
      </text>
    </comment>
    <comment ref="F73" authorId="0" shapeId="0">
      <text>
        <t>Loan: CCG - Commercial Credit Group, AMORTIZING. Closing = Opening - Principal.</t>
      </text>
    </comment>
    <comment ref="C74" authorId="0" shapeId="0">
      <text>
        <t>Loan: CCG - Commercial Credit Group, AMORTIZING. Prior month closing balance.</t>
      </text>
    </comment>
    <comment ref="D74" authorId="0" shapeId="0">
      <text>
        <t>Loan: CCG - Commercial Credit Group, AMORTIZING. Interest = Opening * Annual Rate / 12.</t>
      </text>
    </comment>
    <comment ref="E74" authorId="0" shapeId="0">
      <text>
        <t>Loan: CCG - Commercial Credit Group, AMORTIZING. Principal = MIN(Opening, Payment - Interest).</t>
      </text>
    </comment>
    <comment ref="F74" authorId="0" shapeId="0">
      <text>
        <t>Loan: CCG - Commercial Credit Group, AMORTIZING. Closing = Opening - Principal.</t>
      </text>
    </comment>
    <comment ref="C75" authorId="0" shapeId="0">
      <text>
        <t>Loan: CCG - Commercial Credit Group, AMORTIZING. Prior month closing balance.</t>
      </text>
    </comment>
    <comment ref="D75" authorId="0" shapeId="0">
      <text>
        <t>Loan: CCG - Commercial Credit Group, AMORTIZING. Interest = Opening * Annual Rate / 12.</t>
      </text>
    </comment>
    <comment ref="E75" authorId="0" shapeId="0">
      <text>
        <t>Loan: CCG - Commercial Credit Group, AMORTIZING. Principal = MIN(Opening, Payment - Interest).</t>
      </text>
    </comment>
    <comment ref="F75" authorId="0" shapeId="0">
      <text>
        <t>Loan: CCG - Commercial Credit Group, AMORTIZING. Closing = Opening - Principal.</t>
      </text>
    </comment>
    <comment ref="C76" authorId="0" shapeId="0">
      <text>
        <t>Loan: CCG - Commercial Credit Group, AMORTIZING. Prior month closing balance.</t>
      </text>
    </comment>
    <comment ref="D76" authorId="0" shapeId="0">
      <text>
        <t>Loan: CCG - Commercial Credit Group, AMORTIZING. Interest = Opening * Annual Rate / 12.</t>
      </text>
    </comment>
    <comment ref="E76" authorId="0" shapeId="0">
      <text>
        <t>Loan: CCG - Commercial Credit Group, AMORTIZING. Principal = MIN(Opening, Payment - Interest).</t>
      </text>
    </comment>
    <comment ref="F76" authorId="0" shapeId="0">
      <text>
        <t>Loan: CCG - Commercial Credit Group, AMORTIZING. Closing = Opening - Principal.</t>
      </text>
    </comment>
    <comment ref="C77" authorId="0" shapeId="0">
      <text>
        <t>Loan: CCG - Commercial Credit Group, AMORTIZING. Prior month closing balance.</t>
      </text>
    </comment>
    <comment ref="D77" authorId="0" shapeId="0">
      <text>
        <t>Loan: CCG - Commercial Credit Group, AMORTIZING. Interest = Opening * Annual Rate / 12.</t>
      </text>
    </comment>
    <comment ref="E77" authorId="0" shapeId="0">
      <text>
        <t>Loan: CCG - Commercial Credit Group, AMORTIZING. Principal = MIN(Opening, Payment - Interest).</t>
      </text>
    </comment>
    <comment ref="F77" authorId="0" shapeId="0">
      <text>
        <t>Loan: CCG - Commercial Credit Group, AMORTIZING. Closing = Opening - Principal.</t>
      </text>
    </comment>
    <comment ref="C78" authorId="0" shapeId="0">
      <text>
        <t>Loan: CCG - Commercial Credit Group, AMORTIZING. Prior month closing balance.</t>
      </text>
    </comment>
    <comment ref="D78" authorId="0" shapeId="0">
      <text>
        <t>Loan: CCG - Commercial Credit Group, AMORTIZING. Interest = Opening * Annual Rate / 12.</t>
      </text>
    </comment>
    <comment ref="E78" authorId="0" shapeId="0">
      <text>
        <t>Loan: CCG - Commercial Credit Group, AMORTIZING. Principal = MIN(Opening, Payment - Interest).</t>
      </text>
    </comment>
    <comment ref="F78" authorId="0" shapeId="0">
      <text>
        <t>Loan: CCG - Commercial Credit Group, AMORTIZING. Closing = Opening - Principal.</t>
      </text>
    </comment>
    <comment ref="C79" authorId="0" shapeId="0">
      <text>
        <t>Loan: CCG - Commercial Credit Group, AMORTIZING. Prior month closing balance.</t>
      </text>
    </comment>
    <comment ref="D79" authorId="0" shapeId="0">
      <text>
        <t>Loan: CCG - Commercial Credit Group, AMORTIZING. Interest = Opening * Annual Rate / 12.</t>
      </text>
    </comment>
    <comment ref="E79" authorId="0" shapeId="0">
      <text>
        <t>Loan: CCG - Commercial Credit Group, AMORTIZING. Principal = MIN(Opening, Payment - Interest).</t>
      </text>
    </comment>
    <comment ref="F79" authorId="0" shapeId="0">
      <text>
        <t>Loan: CCG - Commercial Credit Group, AMORTIZING. Closing = Opening - Principal.</t>
      </text>
    </comment>
    <comment ref="B84" authorId="0" shapeId="0">
      <text>
        <t>Sum of rows 24-35: Year 2026 beginning balance.</t>
      </text>
    </comment>
    <comment ref="C84" authorId="0" shapeId="0">
      <text>
        <t>Sum of rows 24-35: Total interest for year 2026.</t>
      </text>
    </comment>
    <comment ref="D84" authorId="0" shapeId="0">
      <text>
        <t>Sum of rows 24-35: Total principal for year 2026.</t>
      </text>
    </comment>
    <comment ref="E84" authorId="0" shapeId="0">
      <text>
        <t>Sum of rows 24-35: Year 2026 ending balance.</t>
      </text>
    </comment>
    <comment ref="B85" authorId="0" shapeId="0">
      <text>
        <t>Sum of rows 36-47: Year 2027 beginning balance.</t>
      </text>
    </comment>
    <comment ref="C85" authorId="0" shapeId="0">
      <text>
        <t>Sum of rows 36-47: Total interest for year 2027.</t>
      </text>
    </comment>
    <comment ref="D85" authorId="0" shapeId="0">
      <text>
        <t>Sum of rows 36-47: Total principal for year 2027.</t>
      </text>
    </comment>
    <comment ref="E85" authorId="0" shapeId="0">
      <text>
        <t>Sum of rows 36-47: Year 2027 ending balance.</t>
      </text>
    </comment>
    <comment ref="B86" authorId="0" shapeId="0">
      <text>
        <t>Sum of rows 48-59: Year 2028 beginning balance.</t>
      </text>
    </comment>
    <comment ref="C86" authorId="0" shapeId="0">
      <text>
        <t>Sum of rows 48-59: Total interest for year 2028.</t>
      </text>
    </comment>
    <comment ref="D86" authorId="0" shapeId="0">
      <text>
        <t>Sum of rows 48-59: Total principal for year 2028.</t>
      </text>
    </comment>
    <comment ref="E86" authorId="0" shapeId="0">
      <text>
        <t>Sum of rows 48-59: Year 2028 ending balance.</t>
      </text>
    </comment>
    <comment ref="B87" authorId="0" shapeId="0">
      <text>
        <t>Sum of rows 60-71: Year 2029 beginning balance.</t>
      </text>
    </comment>
    <comment ref="C87" authorId="0" shapeId="0">
      <text>
        <t>Sum of rows 60-71: Total interest for year 2029.</t>
      </text>
    </comment>
    <comment ref="D87" authorId="0" shapeId="0">
      <text>
        <t>Sum of rows 60-71: Total principal for year 2029.</t>
      </text>
    </comment>
    <comment ref="E87" authorId="0" shapeId="0">
      <text>
        <t>Sum of rows 60-71: Year 2029 ending balance.</t>
      </text>
    </comment>
    <comment ref="B88" authorId="0" shapeId="0">
      <text>
        <t>Sum of rows 72-79: Year 2030 beginning balance.</t>
      </text>
    </comment>
    <comment ref="C88" authorId="0" shapeId="0">
      <text>
        <t>Sum of rows 72-79: Total interest for year 2030.</t>
      </text>
    </comment>
    <comment ref="D88" authorId="0" shapeId="0">
      <text>
        <t>Sum of rows 72-79: Total principal for year 2030.</t>
      </text>
    </comment>
    <comment ref="E88" authorId="0" shapeId="0">
      <text>
        <t>Sum of rows 72-79: Year 2030 ending balance.</t>
      </text>
    </comment>
    <comment ref="B91" authorId="0" shapeId="0">
      <text>
        <t>Links to: Debt Schedule. Current balance as of 12/31/2025 for CCG 6 Trucks 820-825.</t>
      </text>
    </comment>
  </commentList>
</comments>
</file>

<file path=xl/comments/comment52.xml><?xml version="1.0" encoding="utf-8"?>
<comments xmlns="http://schemas.openxmlformats.org/spreadsheetml/2006/main">
  <authors>
    <author>Model Builder</author>
  </authors>
  <commentList>
    <comment ref="B2" authorId="0" shapeId="0">
      <text>
        <t>Source: Meiborg_Debt_Schedule_202512.xlsx - Loan 57
Extracted: 2026-05-14</t>
      </text>
    </comment>
    <comment ref="B6" authorId="0" shapeId="0">
      <text>
        <t>Source: Meiborg_Debt_Schedule_202512.xlsx - Loan 57
Original loan amount at origination.</t>
      </text>
    </comment>
    <comment ref="B7" authorId="0" shapeId="0">
      <text>
        <t>Source: Meiborg_Debt_Schedule_202512.xlsx - Loan 57
Balance as of 12/31/2025.</t>
      </text>
    </comment>
    <comment ref="B8" authorId="0" shapeId="0">
      <text>
        <t>Source: Meiborg_Debt_Schedule_202512.xlsx - Loan 57
Annual interest rate.</t>
      </text>
    </comment>
    <comment ref="B9" authorId="0" shapeId="0">
      <text>
        <t>Source: Meiborg_Debt_Schedule_202512.xlsx - Loan 57
Fixed monthly payment amount.</t>
      </text>
    </comment>
    <comment ref="B13" authorId="0" shapeId="0">
      <text>
        <t>Loan: Bank of America, AMORTIZING. Source: Meiborg_Debt_Schedule_202512.xlsx - Loan 57</t>
      </text>
    </comment>
    <comment ref="C24" authorId="0" shapeId="0">
      <text>
        <t>Loan: Bank of America, AMORTIZING. Source: Meiborg_Debt_Schedule_202512.xlsx - Loan 57
Opening balance from current balance as of 12/31/2025.</t>
      </text>
    </comment>
    <comment ref="D24" authorId="0" shapeId="0">
      <text>
        <t>Loan: Bank of America, AMORTIZING. Interest = Opening * Annual Rate / 12.</t>
      </text>
    </comment>
    <comment ref="E24" authorId="0" shapeId="0">
      <text>
        <t>Loan: Bank of America, AMORTIZING. Principal = MIN(Opening, Payment - Interest).</t>
      </text>
    </comment>
    <comment ref="F24" authorId="0" shapeId="0">
      <text>
        <t>Loan: Bank of America, AMORTIZING. Closing = Opening - Principal.</t>
      </text>
    </comment>
    <comment ref="C25" authorId="0" shapeId="0">
      <text>
        <t>Loan: Bank of America, AMORTIZING. Prior month closing balance.</t>
      </text>
    </comment>
    <comment ref="D25" authorId="0" shapeId="0">
      <text>
        <t>Loan: Bank of America, AMORTIZING. Interest = Opening * Annual Rate / 12.</t>
      </text>
    </comment>
    <comment ref="E25" authorId="0" shapeId="0">
      <text>
        <t>Loan: Bank of America, AMORTIZING. Principal = MIN(Opening, Payment - Interest).</t>
      </text>
    </comment>
    <comment ref="F25" authorId="0" shapeId="0">
      <text>
        <t>Loan: Bank of America, AMORTIZING. Closing = Opening - Principal.</t>
      </text>
    </comment>
    <comment ref="C26" authorId="0" shapeId="0">
      <text>
        <t>Loan: Bank of America, AMORTIZING. Prior month closing balance.</t>
      </text>
    </comment>
    <comment ref="D26" authorId="0" shapeId="0">
      <text>
        <t>Loan: Bank of America, AMORTIZING. Interest = Opening * Annual Rate / 12.</t>
      </text>
    </comment>
    <comment ref="E26" authorId="0" shapeId="0">
      <text>
        <t>Loan: Bank of America, AMORTIZING. Principal = MIN(Opening, Payment - Interest).</t>
      </text>
    </comment>
    <comment ref="F26" authorId="0" shapeId="0">
      <text>
        <t>Loan: Bank of America, AMORTIZING. Closing = Opening - Principal.</t>
      </text>
    </comment>
    <comment ref="C27" authorId="0" shapeId="0">
      <text>
        <t>Loan: Bank of America, AMORTIZING. Prior month closing balance.</t>
      </text>
    </comment>
    <comment ref="D27" authorId="0" shapeId="0">
      <text>
        <t>Loan: Bank of America, AMORTIZING. Interest = Opening * Annual Rate / 12.</t>
      </text>
    </comment>
    <comment ref="E27" authorId="0" shapeId="0">
      <text>
        <t>Loan: Bank of America, AMORTIZING. Principal = MIN(Opening, Payment - Interest).</t>
      </text>
    </comment>
    <comment ref="F27" authorId="0" shapeId="0">
      <text>
        <t>Loan: Bank of America, AMORTIZING. Closing = Opening - Principal.</t>
      </text>
    </comment>
    <comment ref="C28" authorId="0" shapeId="0">
      <text>
        <t>Loan: Bank of America, AMORTIZING. Prior month closing balance.</t>
      </text>
    </comment>
    <comment ref="D28" authorId="0" shapeId="0">
      <text>
        <t>Loan: Bank of America, AMORTIZING. Interest = Opening * Annual Rate / 12.</t>
      </text>
    </comment>
    <comment ref="E28" authorId="0" shapeId="0">
      <text>
        <t>Loan: Bank of America, AMORTIZING. Principal = MIN(Opening, Payment - Interest).</t>
      </text>
    </comment>
    <comment ref="F28" authorId="0" shapeId="0">
      <text>
        <t>Loan: Bank of America, AMORTIZING. Closing = Opening - Principal.</t>
      </text>
    </comment>
    <comment ref="C29" authorId="0" shapeId="0">
      <text>
        <t>Loan: Bank of America, AMORTIZING. Prior month closing balance.</t>
      </text>
    </comment>
    <comment ref="D29" authorId="0" shapeId="0">
      <text>
        <t>Loan: Bank of America, AMORTIZING. Interest = Opening * Annual Rate / 12.</t>
      </text>
    </comment>
    <comment ref="E29" authorId="0" shapeId="0">
      <text>
        <t>Loan: Bank of America, AMORTIZING. Principal = MIN(Opening, Payment - Interest).</t>
      </text>
    </comment>
    <comment ref="F29" authorId="0" shapeId="0">
      <text>
        <t>Loan: Bank of America, AMORTIZING. Closing = Opening - Principal.</t>
      </text>
    </comment>
    <comment ref="C30" authorId="0" shapeId="0">
      <text>
        <t>Loan: Bank of America, AMORTIZING. Prior month closing balance.</t>
      </text>
    </comment>
    <comment ref="D30" authorId="0" shapeId="0">
      <text>
        <t>Loan: Bank of America, AMORTIZING. Interest = Opening * Annual Rate / 12.</t>
      </text>
    </comment>
    <comment ref="E30" authorId="0" shapeId="0">
      <text>
        <t>Loan: Bank of America, AMORTIZING. Principal = MIN(Opening, Payment - Interest).</t>
      </text>
    </comment>
    <comment ref="F30" authorId="0" shapeId="0">
      <text>
        <t>Loan: Bank of America, AMORTIZING. Closing = Opening - Principal.</t>
      </text>
    </comment>
    <comment ref="C31" authorId="0" shapeId="0">
      <text>
        <t>Loan: Bank of America, AMORTIZING. Prior month closing balance.</t>
      </text>
    </comment>
    <comment ref="D31" authorId="0" shapeId="0">
      <text>
        <t>Loan: Bank of America, AMORTIZING. Interest = Opening * Annual Rate / 12.</t>
      </text>
    </comment>
    <comment ref="E31" authorId="0" shapeId="0">
      <text>
        <t>Loan: Bank of America, AMORTIZING. Principal = MIN(Opening, Payment - Interest).</t>
      </text>
    </comment>
    <comment ref="F31" authorId="0" shapeId="0">
      <text>
        <t>Loan: Bank of America, AMORTIZING. Closing = Opening - Principal.</t>
      </text>
    </comment>
    <comment ref="C32" authorId="0" shapeId="0">
      <text>
        <t>Loan: Bank of America, AMORTIZING. Prior month closing balance.</t>
      </text>
    </comment>
    <comment ref="D32" authorId="0" shapeId="0">
      <text>
        <t>Loan: Bank of America, AMORTIZING. Interest = Opening * Annual Rate / 12.</t>
      </text>
    </comment>
    <comment ref="E32" authorId="0" shapeId="0">
      <text>
        <t>Loan: Bank of America, AMORTIZING. Principal = MIN(Opening, Payment - Interest).</t>
      </text>
    </comment>
    <comment ref="F32" authorId="0" shapeId="0">
      <text>
        <t>Loan: Bank of America, AMORTIZING. Closing = Opening - Principal.</t>
      </text>
    </comment>
    <comment ref="C33" authorId="0" shapeId="0">
      <text>
        <t>Loan: Bank of America, AMORTIZING. Prior month closing balance.</t>
      </text>
    </comment>
    <comment ref="D33" authorId="0" shapeId="0">
      <text>
        <t>Loan: Bank of America, AMORTIZING. Interest = Opening * Annual Rate / 12.</t>
      </text>
    </comment>
    <comment ref="E33" authorId="0" shapeId="0">
      <text>
        <t>Loan: Bank of America, AMORTIZING. Principal = MIN(Opening, Payment - Interest).</t>
      </text>
    </comment>
    <comment ref="F33" authorId="0" shapeId="0">
      <text>
        <t>Loan: Bank of America, AMORTIZING. Closing = Opening - Principal.</t>
      </text>
    </comment>
    <comment ref="C34" authorId="0" shapeId="0">
      <text>
        <t>Loan: Bank of America, AMORTIZING. Prior month closing balance.</t>
      </text>
    </comment>
    <comment ref="D34" authorId="0" shapeId="0">
      <text>
        <t>Loan: Bank of America, AMORTIZING. Interest = Opening * Annual Rate / 12.</t>
      </text>
    </comment>
    <comment ref="E34" authorId="0" shapeId="0">
      <text>
        <t>Loan: Bank of America, AMORTIZING. Principal = MIN(Opening, Payment - Interest).</t>
      </text>
    </comment>
    <comment ref="F34" authorId="0" shapeId="0">
      <text>
        <t>Loan: Bank of America, AMORTIZING. Closing = Opening - Principal.</t>
      </text>
    </comment>
    <comment ref="C35" authorId="0" shapeId="0">
      <text>
        <t>Loan: Bank of America, AMORTIZING. Prior month closing balance.</t>
      </text>
    </comment>
    <comment ref="D35" authorId="0" shapeId="0">
      <text>
        <t>Loan: Bank of America, AMORTIZING. Interest = Opening * Annual Rate / 12.</t>
      </text>
    </comment>
    <comment ref="E35" authorId="0" shapeId="0">
      <text>
        <t>Loan: Bank of America, AMORTIZING. Principal = MIN(Opening, Payment - Interest).</t>
      </text>
    </comment>
    <comment ref="F35" authorId="0" shapeId="0">
      <text>
        <t>Loan: Bank of America, AMORTIZING. Closing = Opening - Principal.</t>
      </text>
    </comment>
    <comment ref="C36" authorId="0" shapeId="0">
      <text>
        <t>Loan: Bank of America, AMORTIZING. Prior month closing balance.</t>
      </text>
    </comment>
    <comment ref="D36" authorId="0" shapeId="0">
      <text>
        <t>Loan: Bank of America, AMORTIZING. Interest = Opening * Annual Rate / 12.</t>
      </text>
    </comment>
    <comment ref="E36" authorId="0" shapeId="0">
      <text>
        <t>Loan: Bank of America, AMORTIZING. Principal = MIN(Opening, Payment - Interest).</t>
      </text>
    </comment>
    <comment ref="F36" authorId="0" shapeId="0">
      <text>
        <t>Loan: Bank of America, AMORTIZING. Closing = Opening - Principal.</t>
      </text>
    </comment>
    <comment ref="C37" authorId="0" shapeId="0">
      <text>
        <t>Loan: Bank of America, AMORTIZING. Prior month closing balance.</t>
      </text>
    </comment>
    <comment ref="D37" authorId="0" shapeId="0">
      <text>
        <t>Loan: Bank of America, AMORTIZING. Interest = Opening * Annual Rate / 12.</t>
      </text>
    </comment>
    <comment ref="E37" authorId="0" shapeId="0">
      <text>
        <t>Loan: Bank of America, AMORTIZING. Principal = MIN(Opening, Payment - Interest).</t>
      </text>
    </comment>
    <comment ref="F37" authorId="0" shapeId="0">
      <text>
        <t>Loan: Bank of America, AMORTIZING. Closing = Opening - Principal.</t>
      </text>
    </comment>
    <comment ref="C38" authorId="0" shapeId="0">
      <text>
        <t>Loan: Bank of America, AMORTIZING. Prior month closing balance.</t>
      </text>
    </comment>
    <comment ref="D38" authorId="0" shapeId="0">
      <text>
        <t>Loan: Bank of America, AMORTIZING. Interest = Opening * Annual Rate / 12.</t>
      </text>
    </comment>
    <comment ref="E38" authorId="0" shapeId="0">
      <text>
        <t>Loan: Bank of America, AMORTIZING. Principal = MIN(Opening, Payment - Interest).</t>
      </text>
    </comment>
    <comment ref="F38" authorId="0" shapeId="0">
      <text>
        <t>Loan: Bank of America, AMORTIZING. Closing = Opening - Principal.</t>
      </text>
    </comment>
    <comment ref="C39" authorId="0" shapeId="0">
      <text>
        <t>Loan: Bank of America, AMORTIZING. Prior month closing balance.</t>
      </text>
    </comment>
    <comment ref="D39" authorId="0" shapeId="0">
      <text>
        <t>Loan: Bank of America, AMORTIZING. Interest = Opening * Annual Rate / 12.</t>
      </text>
    </comment>
    <comment ref="E39" authorId="0" shapeId="0">
      <text>
        <t>Loan: Bank of America, AMORTIZING. Principal = MIN(Opening, Payment - Interest).</t>
      </text>
    </comment>
    <comment ref="F39" authorId="0" shapeId="0">
      <text>
        <t>Loan: Bank of America, AMORTIZING. Closing = Opening - Principal.</t>
      </text>
    </comment>
    <comment ref="C40" authorId="0" shapeId="0">
      <text>
        <t>Loan: Bank of America, AMORTIZING. Prior month closing balance.</t>
      </text>
    </comment>
    <comment ref="D40" authorId="0" shapeId="0">
      <text>
        <t>Loan: Bank of America, AMORTIZING. Interest = Opening * Annual Rate / 12.</t>
      </text>
    </comment>
    <comment ref="E40" authorId="0" shapeId="0">
      <text>
        <t>Loan: Bank of America, AMORTIZING. Principal = MIN(Opening, Payment - Interest).</t>
      </text>
    </comment>
    <comment ref="F40" authorId="0" shapeId="0">
      <text>
        <t>Loan: Bank of America, AMORTIZING. Closing = Opening - Principal.</t>
      </text>
    </comment>
    <comment ref="C41" authorId="0" shapeId="0">
      <text>
        <t>Loan: Bank of America, AMORTIZING. Prior month closing balance.</t>
      </text>
    </comment>
    <comment ref="D41" authorId="0" shapeId="0">
      <text>
        <t>Loan: Bank of America, AMORTIZING. Interest = Opening * Annual Rate / 12.</t>
      </text>
    </comment>
    <comment ref="E41" authorId="0" shapeId="0">
      <text>
        <t>Loan: Bank of America, AMORTIZING. Principal = MIN(Opening, Payment - Interest).</t>
      </text>
    </comment>
    <comment ref="F41" authorId="0" shapeId="0">
      <text>
        <t>Loan: Bank of America, AMORTIZING. Closing = Opening - Principal.</t>
      </text>
    </comment>
    <comment ref="C42" authorId="0" shapeId="0">
      <text>
        <t>Loan: Bank of America, AMORTIZING. Prior month closing balance.</t>
      </text>
    </comment>
    <comment ref="D42" authorId="0" shapeId="0">
      <text>
        <t>Loan: Bank of America, AMORTIZING. Interest = Opening * Annual Rate / 12.</t>
      </text>
    </comment>
    <comment ref="E42" authorId="0" shapeId="0">
      <text>
        <t>Loan: Bank of America, AMORTIZING. Principal = MIN(Opening, Payment - Interest).</t>
      </text>
    </comment>
    <comment ref="F42" authorId="0" shapeId="0">
      <text>
        <t>Loan: Bank of America, AMORTIZING. Closing = Opening - Principal.</t>
      </text>
    </comment>
    <comment ref="C43" authorId="0" shapeId="0">
      <text>
        <t>Loan: Bank of America, AMORTIZING. Prior month closing balance.</t>
      </text>
    </comment>
    <comment ref="D43" authorId="0" shapeId="0">
      <text>
        <t>Loan: Bank of America, AMORTIZING. Interest = Opening * Annual Rate / 12.</t>
      </text>
    </comment>
    <comment ref="E43" authorId="0" shapeId="0">
      <text>
        <t>Loan: Bank of America, AMORTIZING. Principal = MIN(Opening, Payment - Interest).</t>
      </text>
    </comment>
    <comment ref="F43" authorId="0" shapeId="0">
      <text>
        <t>Loan: Bank of America, AMORTIZING. Closing = Opening - Principal.</t>
      </text>
    </comment>
    <comment ref="C44" authorId="0" shapeId="0">
      <text>
        <t>Loan: Bank of America, AMORTIZING. Prior month closing balance.</t>
      </text>
    </comment>
    <comment ref="D44" authorId="0" shapeId="0">
      <text>
        <t>Loan: Bank of America, AMORTIZING. Interest = Opening * Annual Rate / 12.</t>
      </text>
    </comment>
    <comment ref="E44" authorId="0" shapeId="0">
      <text>
        <t>Loan: Bank of America, AMORTIZING. Principal = MIN(Opening, Payment - Interest).</t>
      </text>
    </comment>
    <comment ref="F44" authorId="0" shapeId="0">
      <text>
        <t>Loan: Bank of America, AMORTIZING. Closing = Opening - Principal.</t>
      </text>
    </comment>
    <comment ref="C45" authorId="0" shapeId="0">
      <text>
        <t>Loan: Bank of America, AMORTIZING. Prior month closing balance.</t>
      </text>
    </comment>
    <comment ref="D45" authorId="0" shapeId="0">
      <text>
        <t>Loan: Bank of America, AMORTIZING. Interest = Opening * Annual Rate / 12.</t>
      </text>
    </comment>
    <comment ref="E45" authorId="0" shapeId="0">
      <text>
        <t>Loan: Bank of America, AMORTIZING. Principal = MIN(Opening, Payment - Interest).</t>
      </text>
    </comment>
    <comment ref="F45" authorId="0" shapeId="0">
      <text>
        <t>Loan: Bank of America, AMORTIZING. Closing = Opening - Principal.</t>
      </text>
    </comment>
    <comment ref="C46" authorId="0" shapeId="0">
      <text>
        <t>Loan: Bank of America, AMORTIZING. Prior month closing balance.</t>
      </text>
    </comment>
    <comment ref="D46" authorId="0" shapeId="0">
      <text>
        <t>Loan: Bank of America, AMORTIZING. Interest = Opening * Annual Rate / 12.</t>
      </text>
    </comment>
    <comment ref="E46" authorId="0" shapeId="0">
      <text>
        <t>Loan: Bank of America, AMORTIZING. Principal = MIN(Opening, Payment - Interest).</t>
      </text>
    </comment>
    <comment ref="F46" authorId="0" shapeId="0">
      <text>
        <t>Loan: Bank of America, AMORTIZING. Closing = Opening - Principal.</t>
      </text>
    </comment>
    <comment ref="C47" authorId="0" shapeId="0">
      <text>
        <t>Loan: Bank of America, AMORTIZING. Prior month closing balance.</t>
      </text>
    </comment>
    <comment ref="D47" authorId="0" shapeId="0">
      <text>
        <t>Loan: Bank of America, AMORTIZING. Interest = Opening * Annual Rate / 12.</t>
      </text>
    </comment>
    <comment ref="E47" authorId="0" shapeId="0">
      <text>
        <t>Loan: Bank of America, AMORTIZING. Principal = MIN(Opening, Payment - Interest).</t>
      </text>
    </comment>
    <comment ref="F47" authorId="0" shapeId="0">
      <text>
        <t>Loan: Bank of America, AMORTIZING. Closing = Opening - Principal.</t>
      </text>
    </comment>
    <comment ref="C48" authorId="0" shapeId="0">
      <text>
        <t>Loan: Bank of America, AMORTIZING. Prior month closing balance.</t>
      </text>
    </comment>
    <comment ref="D48" authorId="0" shapeId="0">
      <text>
        <t>Loan: Bank of America, AMORTIZING. Interest = Opening * Annual Rate / 12.</t>
      </text>
    </comment>
    <comment ref="E48" authorId="0" shapeId="0">
      <text>
        <t>Loan: Bank of America, AMORTIZING. Principal = MIN(Opening, Payment - Interest).</t>
      </text>
    </comment>
    <comment ref="F48" authorId="0" shapeId="0">
      <text>
        <t>Loan: Bank of America, AMORTIZING. Closing = Opening - Principal.</t>
      </text>
    </comment>
    <comment ref="C49" authorId="0" shapeId="0">
      <text>
        <t>Loan: Bank of America, AMORTIZING. Prior month closing balance.</t>
      </text>
    </comment>
    <comment ref="D49" authorId="0" shapeId="0">
      <text>
        <t>Loan: Bank of America, AMORTIZING. Interest = Opening * Annual Rate / 12.</t>
      </text>
    </comment>
    <comment ref="E49" authorId="0" shapeId="0">
      <text>
        <t>Loan: Bank of America, AMORTIZING. Principal = MIN(Opening, Payment - Interest).</t>
      </text>
    </comment>
    <comment ref="F49" authorId="0" shapeId="0">
      <text>
        <t>Loan: Bank of America, AMORTIZING. Closing = Opening - Principal.</t>
      </text>
    </comment>
    <comment ref="B54" authorId="0" shapeId="0">
      <text>
        <t>Sum of rows 24-35: Year 2026 beginning balance.</t>
      </text>
    </comment>
    <comment ref="C54" authorId="0" shapeId="0">
      <text>
        <t>Sum of rows 24-35: Total interest for year 2026.</t>
      </text>
    </comment>
    <comment ref="D54" authorId="0" shapeId="0">
      <text>
        <t>Sum of rows 24-35: Total principal for year 2026.</t>
      </text>
    </comment>
    <comment ref="E54" authorId="0" shapeId="0">
      <text>
        <t>Sum of rows 24-35: Year 2026 ending balance.</t>
      </text>
    </comment>
    <comment ref="B55" authorId="0" shapeId="0">
      <text>
        <t>Sum of rows 36-47: Year 2027 beginning balance.</t>
      </text>
    </comment>
    <comment ref="C55" authorId="0" shapeId="0">
      <text>
        <t>Sum of rows 36-47: Total interest for year 2027.</t>
      </text>
    </comment>
    <comment ref="D55" authorId="0" shapeId="0">
      <text>
        <t>Sum of rows 36-47: Total principal for year 2027.</t>
      </text>
    </comment>
    <comment ref="E55" authorId="0" shapeId="0">
      <text>
        <t>Sum of rows 36-47: Year 2027 ending balance.</t>
      </text>
    </comment>
    <comment ref="B56" authorId="0" shapeId="0">
      <text>
        <t>Sum of rows 48-49: Year 2028 beginning balance.</t>
      </text>
    </comment>
    <comment ref="C56" authorId="0" shapeId="0">
      <text>
        <t>Sum of rows 48-49: Total interest for year 2028.</t>
      </text>
    </comment>
    <comment ref="D56" authorId="0" shapeId="0">
      <text>
        <t>Sum of rows 48-49: Total principal for year 2028.</t>
      </text>
    </comment>
    <comment ref="E56" authorId="0" shapeId="0">
      <text>
        <t>Sum of rows 48-49: Year 2028 ending balance.</t>
      </text>
    </comment>
    <comment ref="B59" authorId="0" shapeId="0">
      <text>
        <t>Links to: Debt Schedule. Current balance as of 12/31/2025 for 2024 Corvette.</t>
      </text>
    </comment>
  </commentList>
</comments>
</file>

<file path=xl/comments/comment53.xml><?xml version="1.0" encoding="utf-8"?>
<comments xmlns="http://schemas.openxmlformats.org/spreadsheetml/2006/main">
  <authors>
    <author>Model Builder</author>
  </authors>
  <commentList>
    <comment ref="B2" authorId="0" shapeId="0">
      <text>
        <t>Source: Meiborg_Debt_Schedule_202512.xlsx - Loan 58
Extracted: 2026-05-14</t>
      </text>
    </comment>
    <comment ref="B6" authorId="0" shapeId="0">
      <text>
        <t>Source: Meiborg_Debt_Schedule_202512.xlsx - Loan 58
Original loan amount at origination.</t>
      </text>
    </comment>
    <comment ref="B7" authorId="0" shapeId="0">
      <text>
        <t>Source: Meiborg_Debt_Schedule_202512.xlsx - Loan 58
Balance as of 12/31/2025.</t>
      </text>
    </comment>
    <comment ref="B8" authorId="0" shapeId="0">
      <text>
        <t>Source: Meiborg_Debt_Schedule_202512.xlsx - Loan 58
Annual interest rate.</t>
      </text>
    </comment>
    <comment ref="B9" authorId="0" shapeId="0">
      <text>
        <t>Source: Meiborg_Debt_Schedule_202512.xlsx - Loan 58
Fixed monthly payment amount.</t>
      </text>
    </comment>
    <comment ref="B13" authorId="0" shapeId="0">
      <text>
        <t>Loan: International Financial, AMORTIZING. Source: Meiborg_Debt_Schedule_202512.xlsx - Loan 58</t>
      </text>
    </comment>
    <comment ref="C24" authorId="0" shapeId="0">
      <text>
        <t>Loan: International Financial, AMORTIZING. Source: Meiborg_Debt_Schedule_202512.xlsx - Loan 58
Opening balance from current balance as of 12/31/2025.</t>
      </text>
    </comment>
    <comment ref="D24" authorId="0" shapeId="0">
      <text>
        <t>Loan: International Financial, AMORTIZING. Interest = Opening * Annual Rate / 12.</t>
      </text>
    </comment>
    <comment ref="E24" authorId="0" shapeId="0">
      <text>
        <t>Loan: International Financial, AMORTIZING. Principal = MIN(Opening, Payment - Interest).</t>
      </text>
    </comment>
    <comment ref="F24" authorId="0" shapeId="0">
      <text>
        <t>Loan: International Financial, AMORTIZING. Closing = Opening - Principal.</t>
      </text>
    </comment>
    <comment ref="C25" authorId="0" shapeId="0">
      <text>
        <t>Loan: International Financial, AMORTIZING. Prior month closing balance.</t>
      </text>
    </comment>
    <comment ref="D25" authorId="0" shapeId="0">
      <text>
        <t>Loan: International Financial, AMORTIZING. Interest = Opening * Annual Rate / 12.</t>
      </text>
    </comment>
    <comment ref="E25" authorId="0" shapeId="0">
      <text>
        <t>Loan: International Financial, AMORTIZING. Principal = MIN(Opening, Payment - Interest).</t>
      </text>
    </comment>
    <comment ref="F25" authorId="0" shapeId="0">
      <text>
        <t>Loan: International Financial, AMORTIZING. Closing = Opening - Principal.</t>
      </text>
    </comment>
    <comment ref="C26" authorId="0" shapeId="0">
      <text>
        <t>Loan: International Financial, AMORTIZING. Prior month closing balance.</t>
      </text>
    </comment>
    <comment ref="D26" authorId="0" shapeId="0">
      <text>
        <t>Loan: International Financial, AMORTIZING. Interest = Opening * Annual Rate / 12.</t>
      </text>
    </comment>
    <comment ref="E26" authorId="0" shapeId="0">
      <text>
        <t>Loan: International Financial, AMORTIZING. Principal = MIN(Opening, Payment - Interest).</t>
      </text>
    </comment>
    <comment ref="F26" authorId="0" shapeId="0">
      <text>
        <t>Loan: International Financial, AMORTIZING. Closing = Opening - Principal.</t>
      </text>
    </comment>
    <comment ref="C27" authorId="0" shapeId="0">
      <text>
        <t>Loan: International Financial, AMORTIZING. Prior month closing balance.</t>
      </text>
    </comment>
    <comment ref="D27" authorId="0" shapeId="0">
      <text>
        <t>Loan: International Financial, AMORTIZING. Interest = Opening * Annual Rate / 12.</t>
      </text>
    </comment>
    <comment ref="E27" authorId="0" shapeId="0">
      <text>
        <t>Loan: International Financial, AMORTIZING. Principal = MIN(Opening, Payment - Interest).</t>
      </text>
    </comment>
    <comment ref="F27" authorId="0" shapeId="0">
      <text>
        <t>Loan: International Financial, AMORTIZING. Closing = Opening - Principal.</t>
      </text>
    </comment>
    <comment ref="C28" authorId="0" shapeId="0">
      <text>
        <t>Loan: International Financial, AMORTIZING. Prior month closing balance.</t>
      </text>
    </comment>
    <comment ref="D28" authorId="0" shapeId="0">
      <text>
        <t>Loan: International Financial, AMORTIZING. Interest = Opening * Annual Rate / 12.</t>
      </text>
    </comment>
    <comment ref="E28" authorId="0" shapeId="0">
      <text>
        <t>Loan: International Financial, AMORTIZING. Principal = MIN(Opening, Payment - Interest).</t>
      </text>
    </comment>
    <comment ref="F28" authorId="0" shapeId="0">
      <text>
        <t>Loan: International Financial, AMORTIZING. Closing = Opening - Principal.</t>
      </text>
    </comment>
    <comment ref="C29" authorId="0" shapeId="0">
      <text>
        <t>Loan: International Financial, AMORTIZING. Prior month closing balance.</t>
      </text>
    </comment>
    <comment ref="D29" authorId="0" shapeId="0">
      <text>
        <t>Loan: International Financial, AMORTIZING. Interest = Opening * Annual Rate / 12.</t>
      </text>
    </comment>
    <comment ref="E29" authorId="0" shapeId="0">
      <text>
        <t>Loan: International Financial, AMORTIZING. Principal = MIN(Opening, Payment - Interest).</t>
      </text>
    </comment>
    <comment ref="F29" authorId="0" shapeId="0">
      <text>
        <t>Loan: International Financial, AMORTIZING. Closing = Opening - Principal.</t>
      </text>
    </comment>
    <comment ref="C30" authorId="0" shapeId="0">
      <text>
        <t>Loan: International Financial, AMORTIZING. Prior month closing balance.</t>
      </text>
    </comment>
    <comment ref="D30" authorId="0" shapeId="0">
      <text>
        <t>Loan: International Financial, AMORTIZING. Interest = Opening * Annual Rate / 12.</t>
      </text>
    </comment>
    <comment ref="E30" authorId="0" shapeId="0">
      <text>
        <t>Loan: International Financial, AMORTIZING. Principal = MIN(Opening, Payment - Interest).</t>
      </text>
    </comment>
    <comment ref="F30" authorId="0" shapeId="0">
      <text>
        <t>Loan: International Financial, AMORTIZING. Closing = Opening - Principal.</t>
      </text>
    </comment>
    <comment ref="C31" authorId="0" shapeId="0">
      <text>
        <t>Loan: International Financial, AMORTIZING. Prior month closing balance.</t>
      </text>
    </comment>
    <comment ref="D31" authorId="0" shapeId="0">
      <text>
        <t>Loan: International Financial, AMORTIZING. Interest = Opening * Annual Rate / 12.</t>
      </text>
    </comment>
    <comment ref="E31" authorId="0" shapeId="0">
      <text>
        <t>Loan: International Financial, AMORTIZING. Principal = MIN(Opening, Payment - Interest).</t>
      </text>
    </comment>
    <comment ref="F31" authorId="0" shapeId="0">
      <text>
        <t>Loan: International Financial, AMORTIZING. Closing = Opening - Principal.</t>
      </text>
    </comment>
    <comment ref="C32" authorId="0" shapeId="0">
      <text>
        <t>Loan: International Financial, AMORTIZING. Prior month closing balance.</t>
      </text>
    </comment>
    <comment ref="D32" authorId="0" shapeId="0">
      <text>
        <t>Loan: International Financial, AMORTIZING. Interest = Opening * Annual Rate / 12.</t>
      </text>
    </comment>
    <comment ref="E32" authorId="0" shapeId="0">
      <text>
        <t>Loan: International Financial, AMORTIZING. Principal = MIN(Opening, Payment - Interest).</t>
      </text>
    </comment>
    <comment ref="F32" authorId="0" shapeId="0">
      <text>
        <t>Loan: International Financial, AMORTIZING. Closing = Opening - Principal.</t>
      </text>
    </comment>
    <comment ref="C33" authorId="0" shapeId="0">
      <text>
        <t>Loan: International Financial, AMORTIZING. Prior month closing balance.</t>
      </text>
    </comment>
    <comment ref="D33" authorId="0" shapeId="0">
      <text>
        <t>Loan: International Financial, AMORTIZING. Interest = Opening * Annual Rate / 12.</t>
      </text>
    </comment>
    <comment ref="E33" authorId="0" shapeId="0">
      <text>
        <t>Loan: International Financial, AMORTIZING. Principal = MIN(Opening, Payment - Interest).</t>
      </text>
    </comment>
    <comment ref="F33" authorId="0" shapeId="0">
      <text>
        <t>Loan: International Financial, AMORTIZING. Closing = Opening - Principal.</t>
      </text>
    </comment>
    <comment ref="C34" authorId="0" shapeId="0">
      <text>
        <t>Loan: International Financial, AMORTIZING. Prior month closing balance.</t>
      </text>
    </comment>
    <comment ref="D34" authorId="0" shapeId="0">
      <text>
        <t>Loan: International Financial, AMORTIZING. Interest = Opening * Annual Rate / 12.</t>
      </text>
    </comment>
    <comment ref="E34" authorId="0" shapeId="0">
      <text>
        <t>Loan: International Financial, AMORTIZING. Principal = MIN(Opening, Payment - Interest).</t>
      </text>
    </comment>
    <comment ref="F34" authorId="0" shapeId="0">
      <text>
        <t>Loan: International Financial, AMORTIZING. Closing = Opening - Principal.</t>
      </text>
    </comment>
    <comment ref="C35" authorId="0" shapeId="0">
      <text>
        <t>Loan: International Financial, AMORTIZING. Prior month closing balance.</t>
      </text>
    </comment>
    <comment ref="D35" authorId="0" shapeId="0">
      <text>
        <t>Loan: International Financial, AMORTIZING. Interest = Opening * Annual Rate / 12.</t>
      </text>
    </comment>
    <comment ref="E35" authorId="0" shapeId="0">
      <text>
        <t>Loan: International Financial, AMORTIZING. Principal = MIN(Opening, Payment - Interest).</t>
      </text>
    </comment>
    <comment ref="F35" authorId="0" shapeId="0">
      <text>
        <t>Loan: International Financial, AMORTIZING. Closing = Opening - Principal.</t>
      </text>
    </comment>
    <comment ref="C36" authorId="0" shapeId="0">
      <text>
        <t>Loan: International Financial, AMORTIZING. Prior month closing balance.</t>
      </text>
    </comment>
    <comment ref="D36" authorId="0" shapeId="0">
      <text>
        <t>Loan: International Financial, AMORTIZING. Interest = Opening * Annual Rate / 12.</t>
      </text>
    </comment>
    <comment ref="E36" authorId="0" shapeId="0">
      <text>
        <t>Loan: International Financial, AMORTIZING. Principal = MIN(Opening, Payment - Interest).</t>
      </text>
    </comment>
    <comment ref="F36" authorId="0" shapeId="0">
      <text>
        <t>Loan: International Financial, AMORTIZING. Closing = Opening - Principal.</t>
      </text>
    </comment>
    <comment ref="C37" authorId="0" shapeId="0">
      <text>
        <t>Loan: International Financial, AMORTIZING. Prior month closing balance.</t>
      </text>
    </comment>
    <comment ref="D37" authorId="0" shapeId="0">
      <text>
        <t>Loan: International Financial, AMORTIZING. Interest = Opening * Annual Rate / 12.</t>
      </text>
    </comment>
    <comment ref="E37" authorId="0" shapeId="0">
      <text>
        <t>Loan: International Financial, AMORTIZING. Principal = MIN(Opening, Payment - Interest).</t>
      </text>
    </comment>
    <comment ref="F37" authorId="0" shapeId="0">
      <text>
        <t>Loan: International Financial, AMORTIZING. Closing = Opening - Principal.</t>
      </text>
    </comment>
    <comment ref="C38" authorId="0" shapeId="0">
      <text>
        <t>Loan: International Financial, AMORTIZING. Prior month closing balance.</t>
      </text>
    </comment>
    <comment ref="D38" authorId="0" shapeId="0">
      <text>
        <t>Loan: International Financial, AMORTIZING. Interest = Opening * Annual Rate / 12.</t>
      </text>
    </comment>
    <comment ref="E38" authorId="0" shapeId="0">
      <text>
        <t>Loan: International Financial, AMORTIZING. Principal = MIN(Opening, Payment - Interest).</t>
      </text>
    </comment>
    <comment ref="F38" authorId="0" shapeId="0">
      <text>
        <t>Loan: International Financial, AMORTIZING. Closing = Opening - Principal.</t>
      </text>
    </comment>
    <comment ref="C39" authorId="0" shapeId="0">
      <text>
        <t>Loan: International Financial, AMORTIZING. Prior month closing balance.</t>
      </text>
    </comment>
    <comment ref="D39" authorId="0" shapeId="0">
      <text>
        <t>Loan: International Financial, AMORTIZING. Interest = Opening * Annual Rate / 12.</t>
      </text>
    </comment>
    <comment ref="E39" authorId="0" shapeId="0">
      <text>
        <t>Loan: International Financial, AMORTIZING. Principal = MIN(Opening, Payment - Interest).</t>
      </text>
    </comment>
    <comment ref="F39" authorId="0" shapeId="0">
      <text>
        <t>Loan: International Financial, AMORTIZING. Closing = Opening - Principal.</t>
      </text>
    </comment>
    <comment ref="C40" authorId="0" shapeId="0">
      <text>
        <t>Loan: International Financial, AMORTIZING. Prior month closing balance.</t>
      </text>
    </comment>
    <comment ref="D40" authorId="0" shapeId="0">
      <text>
        <t>Loan: International Financial, AMORTIZING. Interest = Opening * Annual Rate / 12.</t>
      </text>
    </comment>
    <comment ref="E40" authorId="0" shapeId="0">
      <text>
        <t>Loan: International Financial, AMORTIZING. Principal = MIN(Opening, Payment - Interest).</t>
      </text>
    </comment>
    <comment ref="F40" authorId="0" shapeId="0">
      <text>
        <t>Loan: International Financial, AMORTIZING. Closing = Opening - Principal.</t>
      </text>
    </comment>
    <comment ref="C41" authorId="0" shapeId="0">
      <text>
        <t>Loan: International Financial, AMORTIZING. Prior month closing balance.</t>
      </text>
    </comment>
    <comment ref="D41" authorId="0" shapeId="0">
      <text>
        <t>Loan: International Financial, AMORTIZING. Interest = Opening * Annual Rate / 12.</t>
      </text>
    </comment>
    <comment ref="E41" authorId="0" shapeId="0">
      <text>
        <t>Loan: International Financial, AMORTIZING. Principal = MIN(Opening, Payment - Interest).</t>
      </text>
    </comment>
    <comment ref="F41" authorId="0" shapeId="0">
      <text>
        <t>Loan: International Financial, AMORTIZING. Closing = Opening - Principal.</t>
      </text>
    </comment>
    <comment ref="C42" authorId="0" shapeId="0">
      <text>
        <t>Loan: International Financial, AMORTIZING. Prior month closing balance.</t>
      </text>
    </comment>
    <comment ref="D42" authorId="0" shapeId="0">
      <text>
        <t>Loan: International Financial, AMORTIZING. Interest = Opening * Annual Rate / 12.</t>
      </text>
    </comment>
    <comment ref="E42" authorId="0" shapeId="0">
      <text>
        <t>Loan: International Financial, AMORTIZING. Principal = MIN(Opening, Payment - Interest).</t>
      </text>
    </comment>
    <comment ref="F42" authorId="0" shapeId="0">
      <text>
        <t>Loan: International Financial, AMORTIZING. Closing = Opening - Principal.</t>
      </text>
    </comment>
    <comment ref="C43" authorId="0" shapeId="0">
      <text>
        <t>Loan: International Financial, AMORTIZING. Prior month closing balance.</t>
      </text>
    </comment>
    <comment ref="D43" authorId="0" shapeId="0">
      <text>
        <t>Loan: International Financial, AMORTIZING. Interest = Opening * Annual Rate / 12.</t>
      </text>
    </comment>
    <comment ref="E43" authorId="0" shapeId="0">
      <text>
        <t>Loan: International Financial, AMORTIZING. Principal = MIN(Opening, Payment - Interest).</t>
      </text>
    </comment>
    <comment ref="F43" authorId="0" shapeId="0">
      <text>
        <t>Loan: International Financial, AMORTIZING. Closing = Opening - Principal.</t>
      </text>
    </comment>
    <comment ref="C44" authorId="0" shapeId="0">
      <text>
        <t>Loan: International Financial, AMORTIZING. Prior month closing balance.</t>
      </text>
    </comment>
    <comment ref="D44" authorId="0" shapeId="0">
      <text>
        <t>Loan: International Financial, AMORTIZING. Interest = Opening * Annual Rate / 12.</t>
      </text>
    </comment>
    <comment ref="E44" authorId="0" shapeId="0">
      <text>
        <t>Loan: International Financial, AMORTIZING. Principal = MIN(Opening, Payment - Interest).</t>
      </text>
    </comment>
    <comment ref="F44" authorId="0" shapeId="0">
      <text>
        <t>Loan: International Financial, AMORTIZING. Closing = Opening - Principal.</t>
      </text>
    </comment>
    <comment ref="C45" authorId="0" shapeId="0">
      <text>
        <t>Loan: International Financial, AMORTIZING. Prior month closing balance.</t>
      </text>
    </comment>
    <comment ref="D45" authorId="0" shapeId="0">
      <text>
        <t>Loan: International Financial, AMORTIZING. Interest = Opening * Annual Rate / 12.</t>
      </text>
    </comment>
    <comment ref="E45" authorId="0" shapeId="0">
      <text>
        <t>Loan: International Financial, AMORTIZING. Principal = MIN(Opening, Payment - Interest).</t>
      </text>
    </comment>
    <comment ref="F45" authorId="0" shapeId="0">
      <text>
        <t>Loan: International Financial, AMORTIZING. Closing = Opening - Principal.</t>
      </text>
    </comment>
    <comment ref="C46" authorId="0" shapeId="0">
      <text>
        <t>Loan: International Financial, AMORTIZING. Prior month closing balance.</t>
      </text>
    </comment>
    <comment ref="D46" authorId="0" shapeId="0">
      <text>
        <t>Loan: International Financial, AMORTIZING. Interest = Opening * Annual Rate / 12.</t>
      </text>
    </comment>
    <comment ref="E46" authorId="0" shapeId="0">
      <text>
        <t>Loan: International Financial, AMORTIZING. Principal = MIN(Opening, Payment - Interest).</t>
      </text>
    </comment>
    <comment ref="F46" authorId="0" shapeId="0">
      <text>
        <t>Loan: International Financial, AMORTIZING. Closing = Opening - Principal.</t>
      </text>
    </comment>
    <comment ref="C47" authorId="0" shapeId="0">
      <text>
        <t>Loan: International Financial, AMORTIZING. Prior month closing balance.</t>
      </text>
    </comment>
    <comment ref="D47" authorId="0" shapeId="0">
      <text>
        <t>Loan: International Financial, AMORTIZING. Interest = Opening * Annual Rate / 12.</t>
      </text>
    </comment>
    <comment ref="E47" authorId="0" shapeId="0">
      <text>
        <t>Loan: International Financial, AMORTIZING. Principal = MIN(Opening, Payment - Interest).</t>
      </text>
    </comment>
    <comment ref="F47" authorId="0" shapeId="0">
      <text>
        <t>Loan: International Financial, AMORTIZING. Closing = Opening - Principal.</t>
      </text>
    </comment>
    <comment ref="C48" authorId="0" shapeId="0">
      <text>
        <t>Loan: International Financial, AMORTIZING. Prior month closing balance.</t>
      </text>
    </comment>
    <comment ref="D48" authorId="0" shapeId="0">
      <text>
        <t>Loan: International Financial, AMORTIZING. Interest = Opening * Annual Rate / 12.</t>
      </text>
    </comment>
    <comment ref="E48" authorId="0" shapeId="0">
      <text>
        <t>Loan: International Financial, AMORTIZING. Principal = MIN(Opening, Payment - Interest).</t>
      </text>
    </comment>
    <comment ref="F48" authorId="0" shapeId="0">
      <text>
        <t>Loan: International Financial, AMORTIZING. Closing = Opening - Principal.</t>
      </text>
    </comment>
    <comment ref="C49" authorId="0" shapeId="0">
      <text>
        <t>Loan: International Financial, AMORTIZING. Prior month closing balance.</t>
      </text>
    </comment>
    <comment ref="D49" authorId="0" shapeId="0">
      <text>
        <t>Loan: International Financial, AMORTIZING. Interest = Opening * Annual Rate / 12.</t>
      </text>
    </comment>
    <comment ref="E49" authorId="0" shapeId="0">
      <text>
        <t>Loan: International Financial, AMORTIZING. Principal = MIN(Opening, Payment - Interest).</t>
      </text>
    </comment>
    <comment ref="F49" authorId="0" shapeId="0">
      <text>
        <t>Loan: International Financial, AMORTIZING. Closing = Opening - Principal.</t>
      </text>
    </comment>
    <comment ref="C50" authorId="0" shapeId="0">
      <text>
        <t>Loan: International Financial, AMORTIZING. Prior month closing balance.</t>
      </text>
    </comment>
    <comment ref="D50" authorId="0" shapeId="0">
      <text>
        <t>Loan: International Financial, AMORTIZING. Interest = Opening * Annual Rate / 12.</t>
      </text>
    </comment>
    <comment ref="E50" authorId="0" shapeId="0">
      <text>
        <t>Loan: International Financial, AMORTIZING. Principal = MIN(Opening, Payment - Interest).</t>
      </text>
    </comment>
    <comment ref="F50" authorId="0" shapeId="0">
      <text>
        <t>Loan: International Financial, AMORTIZING. Closing = Opening - Principal.</t>
      </text>
    </comment>
    <comment ref="C51" authorId="0" shapeId="0">
      <text>
        <t>Loan: International Financial, AMORTIZING. Prior month closing balance.</t>
      </text>
    </comment>
    <comment ref="D51" authorId="0" shapeId="0">
      <text>
        <t>Loan: International Financial, AMORTIZING. Interest = Opening * Annual Rate / 12.</t>
      </text>
    </comment>
    <comment ref="E51" authorId="0" shapeId="0">
      <text>
        <t>Loan: International Financial, AMORTIZING. Principal = MIN(Opening, Payment - Interest).</t>
      </text>
    </comment>
    <comment ref="F51" authorId="0" shapeId="0">
      <text>
        <t>Loan: International Financial, AMORTIZING. Closing = Opening - Principal.</t>
      </text>
    </comment>
    <comment ref="C52" authorId="0" shapeId="0">
      <text>
        <t>Loan: International Financial, AMORTIZING. Prior month closing balance.</t>
      </text>
    </comment>
    <comment ref="D52" authorId="0" shapeId="0">
      <text>
        <t>Loan: International Financial, AMORTIZING. Interest = Opening * Annual Rate / 12.</t>
      </text>
    </comment>
    <comment ref="E52" authorId="0" shapeId="0">
      <text>
        <t>Loan: International Financial, AMORTIZING. Principal = MIN(Opening, Payment - Interest).</t>
      </text>
    </comment>
    <comment ref="F52" authorId="0" shapeId="0">
      <text>
        <t>Loan: International Financial, AMORTIZING. Closing = Opening - Principal.</t>
      </text>
    </comment>
    <comment ref="C53" authorId="0" shapeId="0">
      <text>
        <t>Loan: International Financial, AMORTIZING. Prior month closing balance.</t>
      </text>
    </comment>
    <comment ref="D53" authorId="0" shapeId="0">
      <text>
        <t>Loan: International Financial, AMORTIZING. Interest = Opening * Annual Rate / 12.</t>
      </text>
    </comment>
    <comment ref="E53" authorId="0" shapeId="0">
      <text>
        <t>Loan: International Financial, AMORTIZING. Principal = MIN(Opening, Payment - Interest).</t>
      </text>
    </comment>
    <comment ref="F53" authorId="0" shapeId="0">
      <text>
        <t>Loan: International Financial, AMORTIZING. Closing = Opening - Principal.</t>
      </text>
    </comment>
    <comment ref="C54" authorId="0" shapeId="0">
      <text>
        <t>Loan: International Financial, AMORTIZING. Prior month closing balance.</t>
      </text>
    </comment>
    <comment ref="D54" authorId="0" shapeId="0">
      <text>
        <t>Loan: International Financial, AMORTIZING. Interest = Opening * Annual Rate / 12.</t>
      </text>
    </comment>
    <comment ref="E54" authorId="0" shapeId="0">
      <text>
        <t>Loan: International Financial, AMORTIZING. Principal = MIN(Opening, Payment - Interest).</t>
      </text>
    </comment>
    <comment ref="F54" authorId="0" shapeId="0">
      <text>
        <t>Loan: International Financial, AMORTIZING. Closing = Opening - Principal.</t>
      </text>
    </comment>
    <comment ref="C55" authorId="0" shapeId="0">
      <text>
        <t>Loan: International Financial, AMORTIZING. Prior month closing balance.</t>
      </text>
    </comment>
    <comment ref="D55" authorId="0" shapeId="0">
      <text>
        <t>Loan: International Financial, AMORTIZING. Interest = Opening * Annual Rate / 12.</t>
      </text>
    </comment>
    <comment ref="E55" authorId="0" shapeId="0">
      <text>
        <t>Loan: International Financial, AMORTIZING. Principal = MIN(Opening, Payment - Interest).</t>
      </text>
    </comment>
    <comment ref="F55" authorId="0" shapeId="0">
      <text>
        <t>Loan: International Financial, AMORTIZING. Closing = Opening - Principal.</t>
      </text>
    </comment>
    <comment ref="C56" authorId="0" shapeId="0">
      <text>
        <t>Loan: International Financial, AMORTIZING. Prior month closing balance.</t>
      </text>
    </comment>
    <comment ref="D56" authorId="0" shapeId="0">
      <text>
        <t>Loan: International Financial, AMORTIZING. Interest = Opening * Annual Rate / 12.</t>
      </text>
    </comment>
    <comment ref="E56" authorId="0" shapeId="0">
      <text>
        <t>Loan: International Financial, AMORTIZING. Principal = MIN(Opening, Payment - Interest).</t>
      </text>
    </comment>
    <comment ref="F56" authorId="0" shapeId="0">
      <text>
        <t>Loan: International Financial, AMORTIZING. Closing = Opening - Principal.</t>
      </text>
    </comment>
    <comment ref="C57" authorId="0" shapeId="0">
      <text>
        <t>Loan: International Financial, AMORTIZING. Prior month closing balance.</t>
      </text>
    </comment>
    <comment ref="D57" authorId="0" shapeId="0">
      <text>
        <t>Loan: International Financial, AMORTIZING. Interest = Opening * Annual Rate / 12.</t>
      </text>
    </comment>
    <comment ref="E57" authorId="0" shapeId="0">
      <text>
        <t>Loan: International Financial, AMORTIZING. Principal = MIN(Opening, Payment - Interest).</t>
      </text>
    </comment>
    <comment ref="F57" authorId="0" shapeId="0">
      <text>
        <t>Loan: International Financial, AMORTIZING. Closing = Opening - Principal.</t>
      </text>
    </comment>
    <comment ref="C58" authorId="0" shapeId="0">
      <text>
        <t>Loan: International Financial, AMORTIZING. Prior month closing balance.</t>
      </text>
    </comment>
    <comment ref="D58" authorId="0" shapeId="0">
      <text>
        <t>Loan: International Financial, AMORTIZING. Interest = Opening * Annual Rate / 12.</t>
      </text>
    </comment>
    <comment ref="E58" authorId="0" shapeId="0">
      <text>
        <t>Loan: International Financial, AMORTIZING. Principal = MIN(Opening, Payment - Interest).</t>
      </text>
    </comment>
    <comment ref="F58" authorId="0" shapeId="0">
      <text>
        <t>Loan: International Financial, AMORTIZING. Closing = Opening - Principal.</t>
      </text>
    </comment>
    <comment ref="C59" authorId="0" shapeId="0">
      <text>
        <t>Loan: International Financial, AMORTIZING. Prior month closing balance.</t>
      </text>
    </comment>
    <comment ref="D59" authorId="0" shapeId="0">
      <text>
        <t>Loan: International Financial, AMORTIZING. Interest = Opening * Annual Rate / 12.</t>
      </text>
    </comment>
    <comment ref="E59" authorId="0" shapeId="0">
      <text>
        <t>Loan: International Financial, AMORTIZING. Principal = MIN(Opening, Payment - Interest).</t>
      </text>
    </comment>
    <comment ref="F59" authorId="0" shapeId="0">
      <text>
        <t>Loan: International Financial, AMORTIZING. Closing = Opening - Principal.</t>
      </text>
    </comment>
    <comment ref="C60" authorId="0" shapeId="0">
      <text>
        <t>Loan: International Financial, AMORTIZING. Prior month closing balance.</t>
      </text>
    </comment>
    <comment ref="D60" authorId="0" shapeId="0">
      <text>
        <t>Loan: International Financial, AMORTIZING. Interest = Opening * Annual Rate / 12.</t>
      </text>
    </comment>
    <comment ref="E60" authorId="0" shapeId="0">
      <text>
        <t>Loan: International Financial, AMORTIZING. Principal = MIN(Opening, Payment - Interest).</t>
      </text>
    </comment>
    <comment ref="F60" authorId="0" shapeId="0">
      <text>
        <t>Loan: International Financial, AMORTIZING. Closing = Opening - Principal.</t>
      </text>
    </comment>
    <comment ref="C61" authorId="0" shapeId="0">
      <text>
        <t>Loan: International Financial, AMORTIZING. Prior month closing balance.</t>
      </text>
    </comment>
    <comment ref="D61" authorId="0" shapeId="0">
      <text>
        <t>Loan: International Financial, AMORTIZING. Interest = Opening * Annual Rate / 12.</t>
      </text>
    </comment>
    <comment ref="E61" authorId="0" shapeId="0">
      <text>
        <t>Loan: International Financial, AMORTIZING. Principal = MIN(Opening, Payment - Interest).</t>
      </text>
    </comment>
    <comment ref="F61" authorId="0" shapeId="0">
      <text>
        <t>Loan: International Financial, AMORTIZING. Closing = Opening - Principal.</t>
      </text>
    </comment>
    <comment ref="C62" authorId="0" shapeId="0">
      <text>
        <t>Loan: International Financial, AMORTIZING. Prior month closing balance.</t>
      </text>
    </comment>
    <comment ref="D62" authorId="0" shapeId="0">
      <text>
        <t>Loan: International Financial, AMORTIZING. Interest = Opening * Annual Rate / 12.</t>
      </text>
    </comment>
    <comment ref="E62" authorId="0" shapeId="0">
      <text>
        <t>Loan: International Financial, AMORTIZING. Principal = MIN(Opening, Payment - Interest).</t>
      </text>
    </comment>
    <comment ref="F62" authorId="0" shapeId="0">
      <text>
        <t>Loan: International Financial, AMORTIZING. Closing = Opening - Principal.</t>
      </text>
    </comment>
    <comment ref="C63" authorId="0" shapeId="0">
      <text>
        <t>Loan: International Financial, AMORTIZING. Prior month closing balance.</t>
      </text>
    </comment>
    <comment ref="D63" authorId="0" shapeId="0">
      <text>
        <t>Loan: International Financial, AMORTIZING. Interest = Opening * Annual Rate / 12.</t>
      </text>
    </comment>
    <comment ref="E63" authorId="0" shapeId="0">
      <text>
        <t>Loan: International Financial, AMORTIZING. Principal = MIN(Opening, Payment - Interest).</t>
      </text>
    </comment>
    <comment ref="F63" authorId="0" shapeId="0">
      <text>
        <t>Loan: International Financial, AMORTIZING. Closing = Opening - Principal.</t>
      </text>
    </comment>
    <comment ref="C64" authorId="0" shapeId="0">
      <text>
        <t>Loan: International Financial, AMORTIZING. Prior month closing balance.</t>
      </text>
    </comment>
    <comment ref="D64" authorId="0" shapeId="0">
      <text>
        <t>Loan: International Financial, AMORTIZING. Interest = Opening * Annual Rate / 12.</t>
      </text>
    </comment>
    <comment ref="E64" authorId="0" shapeId="0">
      <text>
        <t>Loan: International Financial, AMORTIZING. Principal = MIN(Opening, Payment - Interest).</t>
      </text>
    </comment>
    <comment ref="F64" authorId="0" shapeId="0">
      <text>
        <t>Loan: International Financial, AMORTIZING. Closing = Opening - Principal.</t>
      </text>
    </comment>
    <comment ref="C65" authorId="0" shapeId="0">
      <text>
        <t>Loan: International Financial, AMORTIZING. Prior month closing balance.</t>
      </text>
    </comment>
    <comment ref="D65" authorId="0" shapeId="0">
      <text>
        <t>Loan: International Financial, AMORTIZING. Interest = Opening * Annual Rate / 12.</t>
      </text>
    </comment>
    <comment ref="E65" authorId="0" shapeId="0">
      <text>
        <t>Loan: International Financial, AMORTIZING. Principal = MIN(Opening, Payment - Interest).</t>
      </text>
    </comment>
    <comment ref="F65" authorId="0" shapeId="0">
      <text>
        <t>Loan: International Financial, AMORTIZING. Closing = Opening - Principal.</t>
      </text>
    </comment>
    <comment ref="C66" authorId="0" shapeId="0">
      <text>
        <t>Loan: International Financial, AMORTIZING. Prior month closing balance.</t>
      </text>
    </comment>
    <comment ref="D66" authorId="0" shapeId="0">
      <text>
        <t>Loan: International Financial, AMORTIZING. Interest = Opening * Annual Rate / 12.</t>
      </text>
    </comment>
    <comment ref="E66" authorId="0" shapeId="0">
      <text>
        <t>Loan: International Financial, AMORTIZING. Principal = MIN(Opening, Payment - Interest).</t>
      </text>
    </comment>
    <comment ref="F66" authorId="0" shapeId="0">
      <text>
        <t>Loan: International Financial, AMORTIZING. Closing = Opening - Principal.</t>
      </text>
    </comment>
    <comment ref="C67" authorId="0" shapeId="0">
      <text>
        <t>Loan: International Financial, AMORTIZING. Prior month closing balance.</t>
      </text>
    </comment>
    <comment ref="D67" authorId="0" shapeId="0">
      <text>
        <t>Loan: International Financial, AMORTIZING. Interest = Opening * Annual Rate / 12.</t>
      </text>
    </comment>
    <comment ref="E67" authorId="0" shapeId="0">
      <text>
        <t>Loan: International Financial, AMORTIZING. Principal = MIN(Opening, Payment - Interest).</t>
      </text>
    </comment>
    <comment ref="F67" authorId="0" shapeId="0">
      <text>
        <t>Loan: International Financial, AMORTIZING. Closing = Opening - Principal.</t>
      </text>
    </comment>
    <comment ref="C68" authorId="0" shapeId="0">
      <text>
        <t>Loan: International Financial, AMORTIZING. Prior month closing balance.</t>
      </text>
    </comment>
    <comment ref="D68" authorId="0" shapeId="0">
      <text>
        <t>Loan: International Financial, AMORTIZING. Interest = Opening * Annual Rate / 12.</t>
      </text>
    </comment>
    <comment ref="E68" authorId="0" shapeId="0">
      <text>
        <t>Loan: International Financial, AMORTIZING. Principal = MIN(Opening, Payment - Interest).</t>
      </text>
    </comment>
    <comment ref="F68" authorId="0" shapeId="0">
      <text>
        <t>Loan: International Financial, AMORTIZING. Closing = Opening - Principal.</t>
      </text>
    </comment>
    <comment ref="C69" authorId="0" shapeId="0">
      <text>
        <t>Loan: International Financial, AMORTIZING. Prior month closing balance.</t>
      </text>
    </comment>
    <comment ref="D69" authorId="0" shapeId="0">
      <text>
        <t>Loan: International Financial, AMORTIZING. Interest = Opening * Annual Rate / 12.</t>
      </text>
    </comment>
    <comment ref="E69" authorId="0" shapeId="0">
      <text>
        <t>Loan: International Financial, AMORTIZING. Principal = MIN(Opening, Payment - Interest).</t>
      </text>
    </comment>
    <comment ref="F69" authorId="0" shapeId="0">
      <text>
        <t>Loan: International Financial, AMORTIZING. Closing = Opening - Principal.</t>
      </text>
    </comment>
    <comment ref="C70" authorId="0" shapeId="0">
      <text>
        <t>Loan: International Financial, AMORTIZING. Prior month closing balance.</t>
      </text>
    </comment>
    <comment ref="D70" authorId="0" shapeId="0">
      <text>
        <t>Loan: International Financial, AMORTIZING. Interest = Opening * Annual Rate / 12.</t>
      </text>
    </comment>
    <comment ref="E70" authorId="0" shapeId="0">
      <text>
        <t>Loan: International Financial, AMORTIZING. Principal = MIN(Opening, Payment - Interest).</t>
      </text>
    </comment>
    <comment ref="F70" authorId="0" shapeId="0">
      <text>
        <t>Loan: International Financial, AMORTIZING. Closing = Opening - Principal.</t>
      </text>
    </comment>
    <comment ref="C71" authorId="0" shapeId="0">
      <text>
        <t>Loan: International Financial, AMORTIZING. Prior month closing balance.</t>
      </text>
    </comment>
    <comment ref="D71" authorId="0" shapeId="0">
      <text>
        <t>Loan: International Financial, AMORTIZING. Interest = Opening * Annual Rate / 12.</t>
      </text>
    </comment>
    <comment ref="E71" authorId="0" shapeId="0">
      <text>
        <t>Loan: International Financial, AMORTIZING. Principal = MIN(Opening, Payment - Interest).</t>
      </text>
    </comment>
    <comment ref="F71" authorId="0" shapeId="0">
      <text>
        <t>Loan: International Financial, AMORTIZING. Closing = Opening - Principal.</t>
      </text>
    </comment>
    <comment ref="C72" authorId="0" shapeId="0">
      <text>
        <t>Loan: International Financial, AMORTIZING. Prior month closing balance.</t>
      </text>
    </comment>
    <comment ref="D72" authorId="0" shapeId="0">
      <text>
        <t>Loan: International Financial, AMORTIZING. Interest = Opening * Annual Rate / 12.</t>
      </text>
    </comment>
    <comment ref="E72" authorId="0" shapeId="0">
      <text>
        <t>Loan: International Financial, AMORTIZING. Principal = MIN(Opening, Payment - Interest).</t>
      </text>
    </comment>
    <comment ref="F72" authorId="0" shapeId="0">
      <text>
        <t>Loan: International Financial, AMORTIZING. Closing = Opening - Principal.</t>
      </text>
    </comment>
    <comment ref="C73" authorId="0" shapeId="0">
      <text>
        <t>Loan: International Financial, AMORTIZING. Prior month closing balance.</t>
      </text>
    </comment>
    <comment ref="D73" authorId="0" shapeId="0">
      <text>
        <t>Loan: International Financial, AMORTIZING. Interest = Opening * Annual Rate / 12.</t>
      </text>
    </comment>
    <comment ref="E73" authorId="0" shapeId="0">
      <text>
        <t>Loan: International Financial, AMORTIZING. Principal = MIN(Opening, Payment - Interest).</t>
      </text>
    </comment>
    <comment ref="F73" authorId="0" shapeId="0">
      <text>
        <t>Loan: International Financial, AMORTIZING. Closing = Opening - Principal.</t>
      </text>
    </comment>
    <comment ref="C74" authorId="0" shapeId="0">
      <text>
        <t>Loan: International Financial, AMORTIZING. Prior month closing balance.</t>
      </text>
    </comment>
    <comment ref="D74" authorId="0" shapeId="0">
      <text>
        <t>Loan: International Financial, AMORTIZING. Interest = Opening * Annual Rate / 12.</t>
      </text>
    </comment>
    <comment ref="E74" authorId="0" shapeId="0">
      <text>
        <t>Loan: International Financial, AMORTIZING. Principal = MIN(Opening, Payment - Interest).</t>
      </text>
    </comment>
    <comment ref="F74" authorId="0" shapeId="0">
      <text>
        <t>Loan: International Financial, AMORTIZING. Closing = Opening - Principal.</t>
      </text>
    </comment>
    <comment ref="C75" authorId="0" shapeId="0">
      <text>
        <t>Loan: International Financial, AMORTIZING. Prior month closing balance.</t>
      </text>
    </comment>
    <comment ref="D75" authorId="0" shapeId="0">
      <text>
        <t>Loan: International Financial, AMORTIZING. Interest = Opening * Annual Rate / 12.</t>
      </text>
    </comment>
    <comment ref="E75" authorId="0" shapeId="0">
      <text>
        <t>Loan: International Financial, AMORTIZING. Principal = MIN(Opening, Payment - Interest).</t>
      </text>
    </comment>
    <comment ref="F75" authorId="0" shapeId="0">
      <text>
        <t>Loan: International Financial, AMORTIZING. Closing = Opening - Principal.</t>
      </text>
    </comment>
    <comment ref="C76" authorId="0" shapeId="0">
      <text>
        <t>Loan: International Financial, AMORTIZING. Prior month closing balance.</t>
      </text>
    </comment>
    <comment ref="D76" authorId="0" shapeId="0">
      <text>
        <t>Loan: International Financial, AMORTIZING. Interest = Opening * Annual Rate / 12.</t>
      </text>
    </comment>
    <comment ref="E76" authorId="0" shapeId="0">
      <text>
        <t>Loan: International Financial, AMORTIZING. Principal = MIN(Opening, Payment - Interest).</t>
      </text>
    </comment>
    <comment ref="F76" authorId="0" shapeId="0">
      <text>
        <t>Loan: International Financial, AMORTIZING. Closing = Opening - Principal.</t>
      </text>
    </comment>
    <comment ref="C77" authorId="0" shapeId="0">
      <text>
        <t>Loan: International Financial, AMORTIZING. Prior month closing balance.</t>
      </text>
    </comment>
    <comment ref="D77" authorId="0" shapeId="0">
      <text>
        <t>Loan: International Financial, AMORTIZING. Interest = Opening * Annual Rate / 12.</t>
      </text>
    </comment>
    <comment ref="E77" authorId="0" shapeId="0">
      <text>
        <t>Loan: International Financial, AMORTIZING. Principal = MIN(Opening, Payment - Interest).</t>
      </text>
    </comment>
    <comment ref="F77" authorId="0" shapeId="0">
      <text>
        <t>Loan: International Financial, AMORTIZING. Closing = Opening - Principal.</t>
      </text>
    </comment>
    <comment ref="C78" authorId="0" shapeId="0">
      <text>
        <t>Loan: International Financial, AMORTIZING. Prior month closing balance.</t>
      </text>
    </comment>
    <comment ref="D78" authorId="0" shapeId="0">
      <text>
        <t>Loan: International Financial, AMORTIZING. Interest = Opening * Annual Rate / 12.</t>
      </text>
    </comment>
    <comment ref="E78" authorId="0" shapeId="0">
      <text>
        <t>Loan: International Financial, AMORTIZING. Principal = MIN(Opening, Payment - Interest).</t>
      </text>
    </comment>
    <comment ref="F78" authorId="0" shapeId="0">
      <text>
        <t>Loan: International Financial, AMORTIZING. Closing = Opening - Principal.</t>
      </text>
    </comment>
    <comment ref="C79" authorId="0" shapeId="0">
      <text>
        <t>Loan: International Financial, AMORTIZING. Prior month closing balance.</t>
      </text>
    </comment>
    <comment ref="D79" authorId="0" shapeId="0">
      <text>
        <t>Loan: International Financial, AMORTIZING. Interest = Opening * Annual Rate / 12.</t>
      </text>
    </comment>
    <comment ref="E79" authorId="0" shapeId="0">
      <text>
        <t>Loan: International Financial, AMORTIZING. Principal = MIN(Opening, Payment - Interest).</t>
      </text>
    </comment>
    <comment ref="F79" authorId="0" shapeId="0">
      <text>
        <t>Loan: International Financial, AMORTIZING. Closing = Opening - Principal.</t>
      </text>
    </comment>
    <comment ref="C80" authorId="0" shapeId="0">
      <text>
        <t>Loan: International Financial, AMORTIZING. Prior month closing balance.</t>
      </text>
    </comment>
    <comment ref="D80" authorId="0" shapeId="0">
      <text>
        <t>Loan: International Financial, AMORTIZING. Interest = Opening * Annual Rate / 12.</t>
      </text>
    </comment>
    <comment ref="E80" authorId="0" shapeId="0">
      <text>
        <t>Loan: International Financial, AMORTIZING. Principal = MIN(Opening, Payment - Interest).</t>
      </text>
    </comment>
    <comment ref="F80" authorId="0" shapeId="0">
      <text>
        <t>Loan: International Financial, AMORTIZING. Closing = Opening - Principal.</t>
      </text>
    </comment>
    <comment ref="C81" authorId="0" shapeId="0">
      <text>
        <t>Loan: International Financial, AMORTIZING. Prior month closing balance.</t>
      </text>
    </comment>
    <comment ref="D81" authorId="0" shapeId="0">
      <text>
        <t>Loan: International Financial, AMORTIZING. Interest = Opening * Annual Rate / 12.</t>
      </text>
    </comment>
    <comment ref="E81" authorId="0" shapeId="0">
      <text>
        <t>Loan: International Financial, AMORTIZING. Principal = MIN(Opening, Payment - Interest).</t>
      </text>
    </comment>
    <comment ref="F81" authorId="0" shapeId="0">
      <text>
        <t>Loan: International Financial, AMORTIZING. Closing = Opening - Principal.</t>
      </text>
    </comment>
    <comment ref="C82" authorId="0" shapeId="0">
      <text>
        <t>Loan: International Financial, AMORTIZING. Prior month closing balance.</t>
      </text>
    </comment>
    <comment ref="D82" authorId="0" shapeId="0">
      <text>
        <t>Loan: International Financial, AMORTIZING. Interest = Opening * Annual Rate / 12.</t>
      </text>
    </comment>
    <comment ref="E82" authorId="0" shapeId="0">
      <text>
        <t>Loan: International Financial, AMORTIZING. Principal = MIN(Opening, Payment - Interest).</t>
      </text>
    </comment>
    <comment ref="F82" authorId="0" shapeId="0">
      <text>
        <t>Loan: International Financial, AMORTIZING. Closing = Opening - Principal.</t>
      </text>
    </comment>
    <comment ref="C83" authorId="0" shapeId="0">
      <text>
        <t>Loan: International Financial, AMORTIZING. Prior month closing balance.</t>
      </text>
    </comment>
    <comment ref="D83" authorId="0" shapeId="0">
      <text>
        <t>Loan: International Financial, AMORTIZING. Interest = Opening * Annual Rate / 12.</t>
      </text>
    </comment>
    <comment ref="E83" authorId="0" shapeId="0">
      <text>
        <t>Loan: International Financial, AMORTIZING. Principal = MIN(Opening, Payment - Interest).</t>
      </text>
    </comment>
    <comment ref="F83" authorId="0" shapeId="0">
      <text>
        <t>Loan: International Financial, AMORTIZING. Closing = Opening - Principal.</t>
      </text>
    </comment>
    <comment ref="C84" authorId="0" shapeId="0">
      <text>
        <t>Loan: International Financial, AMORTIZING. Prior month closing balance.</t>
      </text>
    </comment>
    <comment ref="D84" authorId="0" shapeId="0">
      <text>
        <t>Loan: International Financial, AMORTIZING. Interest = Opening * Annual Rate / 12.</t>
      </text>
    </comment>
    <comment ref="E84" authorId="0" shapeId="0">
      <text>
        <t>Loan: International Financial, AMORTIZING. Principal = MIN(Opening, Payment - Interest).</t>
      </text>
    </comment>
    <comment ref="F84" authorId="0" shapeId="0">
      <text>
        <t>Loan: International Financial, AMORTIZING. Closing = Opening - Principal.</t>
      </text>
    </comment>
    <comment ref="C85" authorId="0" shapeId="0">
      <text>
        <t>Loan: International Financial, AMORTIZING. Prior month closing balance.</t>
      </text>
    </comment>
    <comment ref="D85" authorId="0" shapeId="0">
      <text>
        <t>Loan: International Financial, AMORTIZING. Interest = Opening * Annual Rate / 12.</t>
      </text>
    </comment>
    <comment ref="E85" authorId="0" shapeId="0">
      <text>
        <t>Loan: International Financial, AMORTIZING. Principal = MIN(Opening, Payment - Interest).</t>
      </text>
    </comment>
    <comment ref="F85" authorId="0" shapeId="0">
      <text>
        <t>Loan: International Financial, AMORTIZING. Closing = Opening - Principal.</t>
      </text>
    </comment>
    <comment ref="C86" authorId="0" shapeId="0">
      <text>
        <t>Loan: International Financial, AMORTIZING. Prior month closing balance.</t>
      </text>
    </comment>
    <comment ref="D86" authorId="0" shapeId="0">
      <text>
        <t>Loan: International Financial, AMORTIZING. Interest = Opening * Annual Rate / 12.</t>
      </text>
    </comment>
    <comment ref="E86" authorId="0" shapeId="0">
      <text>
        <t>Loan: International Financial, AMORTIZING. Principal = MIN(Opening, Payment - Interest).</t>
      </text>
    </comment>
    <comment ref="F86" authorId="0" shapeId="0">
      <text>
        <t>Loan: International Financial, AMORTIZING. Closing = Opening - Principal.</t>
      </text>
    </comment>
    <comment ref="C87" authorId="0" shapeId="0">
      <text>
        <t>Loan: International Financial, AMORTIZING. Prior month closing balance.</t>
      </text>
    </comment>
    <comment ref="D87" authorId="0" shapeId="0">
      <text>
        <t>Loan: International Financial, AMORTIZING. Interest = Opening * Annual Rate / 12.</t>
      </text>
    </comment>
    <comment ref="E87" authorId="0" shapeId="0">
      <text>
        <t>Loan: International Financial, AMORTIZING. Principal = MIN(Opening, Payment - Interest).</t>
      </text>
    </comment>
    <comment ref="F87" authorId="0" shapeId="0">
      <text>
        <t>Loan: International Financial, AMORTIZING. Closing = Opening - Principal.</t>
      </text>
    </comment>
    <comment ref="C88" authorId="0" shapeId="0">
      <text>
        <t>Loan: International Financial, AMORTIZING. Prior month closing balance.</t>
      </text>
    </comment>
    <comment ref="D88" authorId="0" shapeId="0">
      <text>
        <t>Loan: International Financial, AMORTIZING. Interest = Opening * Annual Rate / 12.</t>
      </text>
    </comment>
    <comment ref="E88" authorId="0" shapeId="0">
      <text>
        <t>Loan: International Financial, AMORTIZING. Principal = MIN(Opening, Payment - Interest).</t>
      </text>
    </comment>
    <comment ref="F88" authorId="0" shapeId="0">
      <text>
        <t>Loan: International Financial, AMORTIZING. Closing = Opening - Principal.</t>
      </text>
    </comment>
    <comment ref="C89" authorId="0" shapeId="0">
      <text>
        <t>Loan: International Financial, AMORTIZING. Prior month closing balance.</t>
      </text>
    </comment>
    <comment ref="D89" authorId="0" shapeId="0">
      <text>
        <t>Loan: International Financial, AMORTIZING. Interest = Opening * Annual Rate / 12.</t>
      </text>
    </comment>
    <comment ref="E89" authorId="0" shapeId="0">
      <text>
        <t>Loan: International Financial, AMORTIZING. Principal = MIN(Opening, Payment - Interest).</t>
      </text>
    </comment>
    <comment ref="F89" authorId="0" shapeId="0">
      <text>
        <t>Loan: International Financial, AMORTIZING. Closing = Opening - Principal.</t>
      </text>
    </comment>
    <comment ref="C90" authorId="0" shapeId="0">
      <text>
        <t>Loan: International Financial, AMORTIZING. Prior month closing balance.</t>
      </text>
    </comment>
    <comment ref="D90" authorId="0" shapeId="0">
      <text>
        <t>Loan: International Financial, AMORTIZING. Interest = Opening * Annual Rate / 12.</t>
      </text>
    </comment>
    <comment ref="E90" authorId="0" shapeId="0">
      <text>
        <t>Loan: International Financial, AMORTIZING. Principal = MIN(Opening, Payment - Interest).</t>
      </text>
    </comment>
    <comment ref="F90" authorId="0" shapeId="0">
      <text>
        <t>Loan: International Financial, AMORTIZING. Closing = Opening - Principal.</t>
      </text>
    </comment>
    <comment ref="C91" authorId="0" shapeId="0">
      <text>
        <t>Loan: International Financial, AMORTIZING. Prior month closing balance.</t>
      </text>
    </comment>
    <comment ref="D91" authorId="0" shapeId="0">
      <text>
        <t>Loan: International Financial, AMORTIZING. Interest = Opening * Annual Rate / 12.</t>
      </text>
    </comment>
    <comment ref="E91" authorId="0" shapeId="0">
      <text>
        <t>Loan: International Financial, AMORTIZING. Principal = MIN(Opening, Payment - Interest).</t>
      </text>
    </comment>
    <comment ref="F91" authorId="0" shapeId="0">
      <text>
        <t>Loan: International Financial, AMORTIZING. Closing = Opening - Principal.</t>
      </text>
    </comment>
    <comment ref="B96" authorId="0" shapeId="0">
      <text>
        <t>Sum of rows 24-35: Year 2026 beginning balance.</t>
      </text>
    </comment>
    <comment ref="C96" authorId="0" shapeId="0">
      <text>
        <t>Sum of rows 24-35: Total interest for year 2026.</t>
      </text>
    </comment>
    <comment ref="D96" authorId="0" shapeId="0">
      <text>
        <t>Sum of rows 24-35: Total principal for year 2026.</t>
      </text>
    </comment>
    <comment ref="E96" authorId="0" shapeId="0">
      <text>
        <t>Sum of rows 24-35: Year 2026 ending balance.</t>
      </text>
    </comment>
    <comment ref="B97" authorId="0" shapeId="0">
      <text>
        <t>Sum of rows 36-47: Year 2027 beginning balance.</t>
      </text>
    </comment>
    <comment ref="C97" authorId="0" shapeId="0">
      <text>
        <t>Sum of rows 36-47: Total interest for year 2027.</t>
      </text>
    </comment>
    <comment ref="D97" authorId="0" shapeId="0">
      <text>
        <t>Sum of rows 36-47: Total principal for year 2027.</t>
      </text>
    </comment>
    <comment ref="E97" authorId="0" shapeId="0">
      <text>
        <t>Sum of rows 36-47: Year 2027 ending balance.</t>
      </text>
    </comment>
    <comment ref="B98" authorId="0" shapeId="0">
      <text>
        <t>Sum of rows 48-59: Year 2028 beginning balance.</t>
      </text>
    </comment>
    <comment ref="C98" authorId="0" shapeId="0">
      <text>
        <t>Sum of rows 48-59: Total interest for year 2028.</t>
      </text>
    </comment>
    <comment ref="D98" authorId="0" shapeId="0">
      <text>
        <t>Sum of rows 48-59: Total principal for year 2028.</t>
      </text>
    </comment>
    <comment ref="E98" authorId="0" shapeId="0">
      <text>
        <t>Sum of rows 48-59: Year 2028 ending balance.</t>
      </text>
    </comment>
    <comment ref="B99" authorId="0" shapeId="0">
      <text>
        <t>Sum of rows 60-71: Year 2029 beginning balance.</t>
      </text>
    </comment>
    <comment ref="C99" authorId="0" shapeId="0">
      <text>
        <t>Sum of rows 60-71: Total interest for year 2029.</t>
      </text>
    </comment>
    <comment ref="D99" authorId="0" shapeId="0">
      <text>
        <t>Sum of rows 60-71: Total principal for year 2029.</t>
      </text>
    </comment>
    <comment ref="E99" authorId="0" shapeId="0">
      <text>
        <t>Sum of rows 60-71: Year 2029 ending balance.</t>
      </text>
    </comment>
    <comment ref="B100" authorId="0" shapeId="0">
      <text>
        <t>Sum of rows 72-83: Year 2030 beginning balance.</t>
      </text>
    </comment>
    <comment ref="C100" authorId="0" shapeId="0">
      <text>
        <t>Sum of rows 72-83: Total interest for year 2030.</t>
      </text>
    </comment>
    <comment ref="D100" authorId="0" shapeId="0">
      <text>
        <t>Sum of rows 72-83: Total principal for year 2030.</t>
      </text>
    </comment>
    <comment ref="E100" authorId="0" shapeId="0">
      <text>
        <t>Sum of rows 72-83: Year 2030 ending balance.</t>
      </text>
    </comment>
    <comment ref="B101" authorId="0" shapeId="0">
      <text>
        <t>Sum of rows 84-91: Year 2031 beginning balance.</t>
      </text>
    </comment>
    <comment ref="C101" authorId="0" shapeId="0">
      <text>
        <t>Sum of rows 84-91: Total interest for year 2031.</t>
      </text>
    </comment>
    <comment ref="D101" authorId="0" shapeId="0">
      <text>
        <t>Sum of rows 84-91: Total principal for year 2031.</t>
      </text>
    </comment>
    <comment ref="E101" authorId="0" shapeId="0">
      <text>
        <t>Sum of rows 84-91: Year 2031 ending balance.</t>
      </text>
    </comment>
    <comment ref="B104" authorId="0" shapeId="0">
      <text>
        <t>Links to: Debt Schedule. Current balance as of 12/31/2025 for 8 International Trucks 801-808.</t>
      </text>
    </comment>
  </commentList>
</comments>
</file>

<file path=xl/comments/comment54.xml><?xml version="1.0" encoding="utf-8"?>
<comments xmlns="http://schemas.openxmlformats.org/spreadsheetml/2006/main">
  <authors>
    <author>Model Builder</author>
  </authors>
  <commentList>
    <comment ref="B2" authorId="0" shapeId="0">
      <text>
        <t>Source: Meiborg_Debt_Schedule_202512.xlsx - Loan 59
Extracted: 2026-05-14</t>
      </text>
    </comment>
    <comment ref="B6" authorId="0" shapeId="0">
      <text>
        <t>Source: Meiborg_Debt_Schedule_202512.xlsx - Loan 59
Original loan amount at origination.</t>
      </text>
    </comment>
    <comment ref="B7" authorId="0" shapeId="0">
      <text>
        <t>Source: Meiborg_Debt_Schedule_202512.xlsx - Loan 59
Balance as of 12/31/2025.</t>
      </text>
    </comment>
    <comment ref="B8" authorId="0" shapeId="0">
      <text>
        <t>Source: Meiborg_Debt_Schedule_202512.xlsx - Loan 59
Annual interest rate.</t>
      </text>
    </comment>
    <comment ref="B9" authorId="0" shapeId="0">
      <text>
        <t>Source: Meiborg_Debt_Schedule_202512.xlsx - Loan 59
Fixed monthly payment amount.</t>
      </text>
    </comment>
    <comment ref="B13" authorId="0" shapeId="0">
      <text>
        <t>Loan: International Financial, ZERO_INTEREST. Source: Meiborg_Debt_Schedule_202512.xlsx - Loan 59</t>
      </text>
    </comment>
    <comment ref="B19" authorId="0" shapeId="0">
      <text>
        <t>Check: 0% interest loan. All payment goes to principal.</t>
      </text>
    </comment>
    <comment ref="C24" authorId="0" shapeId="0">
      <text>
        <t>Loan: International Financial, ZERO_INTEREST. Source: Meiborg_Debt_Schedule_202512.xlsx - Loan 59
Opening balance from current balance as of 12/31/2025.</t>
      </text>
    </comment>
    <comment ref="D24" authorId="0" shapeId="0">
      <text>
        <t>Loan: 0% interest service contract. No interest accrues.</t>
      </text>
    </comment>
    <comment ref="E24" authorId="0" shapeId="0">
      <text>
        <t>Loan: International Financial, ZERO_INTEREST. Principal = MIN(Opening, Payment - Interest).</t>
      </text>
    </comment>
    <comment ref="F24" authorId="0" shapeId="0">
      <text>
        <t>Loan: International Financial, ZERO_INTEREST. Closing = Opening - Principal.</t>
      </text>
    </comment>
    <comment ref="C25" authorId="0" shapeId="0">
      <text>
        <t>Loan: International Financial, ZERO_INTEREST. Prior month closing balance.</t>
      </text>
    </comment>
    <comment ref="D25" authorId="0" shapeId="0">
      <text>
        <t>Loan: 0% interest service contract. No interest accrues.</t>
      </text>
    </comment>
    <comment ref="E25" authorId="0" shapeId="0">
      <text>
        <t>Loan: International Financial, ZERO_INTEREST. Principal = MIN(Opening, Payment - Interest).</t>
      </text>
    </comment>
    <comment ref="F25" authorId="0" shapeId="0">
      <text>
        <t>Loan: International Financial, ZERO_INTEREST. Closing = Opening - Principal.</t>
      </text>
    </comment>
    <comment ref="C26" authorId="0" shapeId="0">
      <text>
        <t>Loan: International Financial, ZERO_INTEREST. Prior month closing balance.</t>
      </text>
    </comment>
    <comment ref="D26" authorId="0" shapeId="0">
      <text>
        <t>Loan: 0% interest service contract. No interest accrues.</t>
      </text>
    </comment>
    <comment ref="E26" authorId="0" shapeId="0">
      <text>
        <t>Loan: International Financial, ZERO_INTEREST. Principal = MIN(Opening, Payment - Interest).</t>
      </text>
    </comment>
    <comment ref="F26" authorId="0" shapeId="0">
      <text>
        <t>Loan: International Financial, ZERO_INTEREST. Closing = Opening - Principal.</t>
      </text>
    </comment>
    <comment ref="C27" authorId="0" shapeId="0">
      <text>
        <t>Loan: International Financial, ZERO_INTEREST. Prior month closing balance.</t>
      </text>
    </comment>
    <comment ref="D27" authorId="0" shapeId="0">
      <text>
        <t>Loan: 0% interest service contract. No interest accrues.</t>
      </text>
    </comment>
    <comment ref="E27" authorId="0" shapeId="0">
      <text>
        <t>Loan: International Financial, ZERO_INTEREST. Principal = MIN(Opening, Payment - Interest).</t>
      </text>
    </comment>
    <comment ref="F27" authorId="0" shapeId="0">
      <text>
        <t>Loan: International Financial, ZERO_INTEREST. Closing = Opening - Principal.</t>
      </text>
    </comment>
    <comment ref="C28" authorId="0" shapeId="0">
      <text>
        <t>Loan: International Financial, ZERO_INTEREST. Prior month closing balance.</t>
      </text>
    </comment>
    <comment ref="D28" authorId="0" shapeId="0">
      <text>
        <t>Loan: 0% interest service contract. No interest accrues.</t>
      </text>
    </comment>
    <comment ref="E28" authorId="0" shapeId="0">
      <text>
        <t>Loan: International Financial, ZERO_INTEREST. Principal = MIN(Opening, Payment - Interest).</t>
      </text>
    </comment>
    <comment ref="F28" authorId="0" shapeId="0">
      <text>
        <t>Loan: International Financial, ZERO_INTEREST. Closing = Opening - Principal.</t>
      </text>
    </comment>
    <comment ref="C29" authorId="0" shapeId="0">
      <text>
        <t>Loan: International Financial, ZERO_INTEREST. Prior month closing balance.</t>
      </text>
    </comment>
    <comment ref="D29" authorId="0" shapeId="0">
      <text>
        <t>Loan: 0% interest service contract. No interest accrues.</t>
      </text>
    </comment>
    <comment ref="E29" authorId="0" shapeId="0">
      <text>
        <t>Loan: International Financial, ZERO_INTEREST. Principal = MIN(Opening, Payment - Interest).</t>
      </text>
    </comment>
    <comment ref="F29" authorId="0" shapeId="0">
      <text>
        <t>Loan: International Financial, ZERO_INTEREST. Closing = Opening - Principal.</t>
      </text>
    </comment>
    <comment ref="C30" authorId="0" shapeId="0">
      <text>
        <t>Loan: International Financial, ZERO_INTEREST. Prior month closing balance.</t>
      </text>
    </comment>
    <comment ref="D30" authorId="0" shapeId="0">
      <text>
        <t>Loan: 0% interest service contract. No interest accrues.</t>
      </text>
    </comment>
    <comment ref="E30" authorId="0" shapeId="0">
      <text>
        <t>Loan: International Financial, ZERO_INTEREST. Principal = MIN(Opening, Payment - Interest).</t>
      </text>
    </comment>
    <comment ref="F30" authorId="0" shapeId="0">
      <text>
        <t>Loan: International Financial, ZERO_INTEREST. Closing = Opening - Principal.</t>
      </text>
    </comment>
    <comment ref="C31" authorId="0" shapeId="0">
      <text>
        <t>Loan: International Financial, ZERO_INTEREST. Prior month closing balance.</t>
      </text>
    </comment>
    <comment ref="D31" authorId="0" shapeId="0">
      <text>
        <t>Loan: 0% interest service contract. No interest accrues.</t>
      </text>
    </comment>
    <comment ref="E31" authorId="0" shapeId="0">
      <text>
        <t>Loan: International Financial, ZERO_INTEREST. Principal = MIN(Opening, Payment - Interest).</t>
      </text>
    </comment>
    <comment ref="F31" authorId="0" shapeId="0">
      <text>
        <t>Loan: International Financial, ZERO_INTEREST. Closing = Opening - Principal.</t>
      </text>
    </comment>
    <comment ref="C32" authorId="0" shapeId="0">
      <text>
        <t>Loan: International Financial, ZERO_INTEREST. Prior month closing balance.</t>
      </text>
    </comment>
    <comment ref="D32" authorId="0" shapeId="0">
      <text>
        <t>Loan: 0% interest service contract. No interest accrues.</t>
      </text>
    </comment>
    <comment ref="E32" authorId="0" shapeId="0">
      <text>
        <t>Loan: International Financial, ZERO_INTEREST. Principal = MIN(Opening, Payment - Interest).</t>
      </text>
    </comment>
    <comment ref="F32" authorId="0" shapeId="0">
      <text>
        <t>Loan: International Financial, ZERO_INTEREST. Closing = Opening - Principal.</t>
      </text>
    </comment>
    <comment ref="C33" authorId="0" shapeId="0">
      <text>
        <t>Loan: International Financial, ZERO_INTEREST. Prior month closing balance.</t>
      </text>
    </comment>
    <comment ref="D33" authorId="0" shapeId="0">
      <text>
        <t>Loan: 0% interest service contract. No interest accrues.</t>
      </text>
    </comment>
    <comment ref="E33" authorId="0" shapeId="0">
      <text>
        <t>Loan: International Financial, ZERO_INTEREST. Principal = MIN(Opening, Payment - Interest).</t>
      </text>
    </comment>
    <comment ref="F33" authorId="0" shapeId="0">
      <text>
        <t>Loan: International Financial, ZERO_INTEREST. Closing = Opening - Principal.</t>
      </text>
    </comment>
    <comment ref="C34" authorId="0" shapeId="0">
      <text>
        <t>Loan: International Financial, ZERO_INTEREST. Prior month closing balance.</t>
      </text>
    </comment>
    <comment ref="D34" authorId="0" shapeId="0">
      <text>
        <t>Loan: 0% interest service contract. No interest accrues.</t>
      </text>
    </comment>
    <comment ref="E34" authorId="0" shapeId="0">
      <text>
        <t>Loan: International Financial, ZERO_INTEREST. Principal = MIN(Opening, Payment - Interest).</t>
      </text>
    </comment>
    <comment ref="F34" authorId="0" shapeId="0">
      <text>
        <t>Loan: International Financial, ZERO_INTEREST. Closing = Opening - Principal.</t>
      </text>
    </comment>
    <comment ref="C35" authorId="0" shapeId="0">
      <text>
        <t>Loan: International Financial, ZERO_INTEREST. Prior month closing balance.</t>
      </text>
    </comment>
    <comment ref="D35" authorId="0" shapeId="0">
      <text>
        <t>Loan: 0% interest service contract. No interest accrues.</t>
      </text>
    </comment>
    <comment ref="E35" authorId="0" shapeId="0">
      <text>
        <t>Loan: International Financial, ZERO_INTEREST. Principal = MIN(Opening, Payment - Interest).</t>
      </text>
    </comment>
    <comment ref="F35" authorId="0" shapeId="0">
      <text>
        <t>Loan: International Financial, ZERO_INTEREST. Closing = Opening - Principal.</t>
      </text>
    </comment>
    <comment ref="C36" authorId="0" shapeId="0">
      <text>
        <t>Loan: International Financial, ZERO_INTEREST. Prior month closing balance.</t>
      </text>
    </comment>
    <comment ref="D36" authorId="0" shapeId="0">
      <text>
        <t>Loan: 0% interest service contract. No interest accrues.</t>
      </text>
    </comment>
    <comment ref="E36" authorId="0" shapeId="0">
      <text>
        <t>Loan: International Financial, ZERO_INTEREST. Principal = MIN(Opening, Payment - Interest).</t>
      </text>
    </comment>
    <comment ref="F36" authorId="0" shapeId="0">
      <text>
        <t>Loan: International Financial, ZERO_INTEREST. Closing = Opening - Principal.</t>
      </text>
    </comment>
    <comment ref="C37" authorId="0" shapeId="0">
      <text>
        <t>Loan: International Financial, ZERO_INTEREST. Prior month closing balance.</t>
      </text>
    </comment>
    <comment ref="D37" authorId="0" shapeId="0">
      <text>
        <t>Loan: 0% interest service contract. No interest accrues.</t>
      </text>
    </comment>
    <comment ref="E37" authorId="0" shapeId="0">
      <text>
        <t>Loan: International Financial, ZERO_INTEREST. Principal = MIN(Opening, Payment - Interest).</t>
      </text>
    </comment>
    <comment ref="F37" authorId="0" shapeId="0">
      <text>
        <t>Loan: International Financial, ZERO_INTEREST. Closing = Opening - Principal.</t>
      </text>
    </comment>
    <comment ref="C38" authorId="0" shapeId="0">
      <text>
        <t>Loan: International Financial, ZERO_INTEREST. Prior month closing balance.</t>
      </text>
    </comment>
    <comment ref="D38" authorId="0" shapeId="0">
      <text>
        <t>Loan: 0% interest service contract. No interest accrues.</t>
      </text>
    </comment>
    <comment ref="E38" authorId="0" shapeId="0">
      <text>
        <t>Loan: International Financial, ZERO_INTEREST. Principal = MIN(Opening, Payment - Interest).</t>
      </text>
    </comment>
    <comment ref="F38" authorId="0" shapeId="0">
      <text>
        <t>Loan: International Financial, ZERO_INTEREST. Closing = Opening - Principal.</t>
      </text>
    </comment>
    <comment ref="C39" authorId="0" shapeId="0">
      <text>
        <t>Loan: International Financial, ZERO_INTEREST. Prior month closing balance.</t>
      </text>
    </comment>
    <comment ref="D39" authorId="0" shapeId="0">
      <text>
        <t>Loan: 0% interest service contract. No interest accrues.</t>
      </text>
    </comment>
    <comment ref="E39" authorId="0" shapeId="0">
      <text>
        <t>Loan: International Financial, ZERO_INTEREST. Principal = MIN(Opening, Payment - Interest).</t>
      </text>
    </comment>
    <comment ref="F39" authorId="0" shapeId="0">
      <text>
        <t>Loan: International Financial, ZERO_INTEREST. Closing = Opening - Principal.</t>
      </text>
    </comment>
    <comment ref="C40" authorId="0" shapeId="0">
      <text>
        <t>Loan: International Financial, ZERO_INTEREST. Prior month closing balance.</t>
      </text>
    </comment>
    <comment ref="D40" authorId="0" shapeId="0">
      <text>
        <t>Loan: 0% interest service contract. No interest accrues.</t>
      </text>
    </comment>
    <comment ref="E40" authorId="0" shapeId="0">
      <text>
        <t>Loan: International Financial, ZERO_INTEREST. Principal = MIN(Opening, Payment - Interest).</t>
      </text>
    </comment>
    <comment ref="F40" authorId="0" shapeId="0">
      <text>
        <t>Loan: International Financial, ZERO_INTEREST. Closing = Opening - Principal.</t>
      </text>
    </comment>
    <comment ref="C41" authorId="0" shapeId="0">
      <text>
        <t>Loan: International Financial, ZERO_INTEREST. Prior month closing balance.</t>
      </text>
    </comment>
    <comment ref="D41" authorId="0" shapeId="0">
      <text>
        <t>Loan: 0% interest service contract. No interest accrues.</t>
      </text>
    </comment>
    <comment ref="E41" authorId="0" shapeId="0">
      <text>
        <t>Loan: International Financial, ZERO_INTEREST. Principal = MIN(Opening, Payment - Interest).</t>
      </text>
    </comment>
    <comment ref="F41" authorId="0" shapeId="0">
      <text>
        <t>Loan: International Financial, ZERO_INTEREST. Closing = Opening - Principal.</t>
      </text>
    </comment>
    <comment ref="C42" authorId="0" shapeId="0">
      <text>
        <t>Loan: International Financial, ZERO_INTEREST. Prior month closing balance.</t>
      </text>
    </comment>
    <comment ref="D42" authorId="0" shapeId="0">
      <text>
        <t>Loan: 0% interest service contract. No interest accrues.</t>
      </text>
    </comment>
    <comment ref="E42" authorId="0" shapeId="0">
      <text>
        <t>Loan: International Financial, ZERO_INTEREST. Principal = MIN(Opening, Payment - Interest).</t>
      </text>
    </comment>
    <comment ref="F42" authorId="0" shapeId="0">
      <text>
        <t>Loan: International Financial, ZERO_INTEREST. Closing = Opening - Principal.</t>
      </text>
    </comment>
    <comment ref="C43" authorId="0" shapeId="0">
      <text>
        <t>Loan: International Financial, ZERO_INTEREST. Prior month closing balance.</t>
      </text>
    </comment>
    <comment ref="D43" authorId="0" shapeId="0">
      <text>
        <t>Loan: 0% interest service contract. No interest accrues.</t>
      </text>
    </comment>
    <comment ref="E43" authorId="0" shapeId="0">
      <text>
        <t>Loan: International Financial, ZERO_INTEREST. Principal = MIN(Opening, Payment - Interest).</t>
      </text>
    </comment>
    <comment ref="F43" authorId="0" shapeId="0">
      <text>
        <t>Loan: International Financial, ZERO_INTEREST. Closing = Opening - Principal.</t>
      </text>
    </comment>
    <comment ref="C44" authorId="0" shapeId="0">
      <text>
        <t>Loan: International Financial, ZERO_INTEREST. Prior month closing balance.</t>
      </text>
    </comment>
    <comment ref="D44" authorId="0" shapeId="0">
      <text>
        <t>Loan: 0% interest service contract. No interest accrues.</t>
      </text>
    </comment>
    <comment ref="E44" authorId="0" shapeId="0">
      <text>
        <t>Loan: International Financial, ZERO_INTEREST. Principal = MIN(Opening, Payment - Interest).</t>
      </text>
    </comment>
    <comment ref="F44" authorId="0" shapeId="0">
      <text>
        <t>Loan: International Financial, ZERO_INTEREST. Closing = Opening - Principal.</t>
      </text>
    </comment>
    <comment ref="C45" authorId="0" shapeId="0">
      <text>
        <t>Loan: International Financial, ZERO_INTEREST. Prior month closing balance.</t>
      </text>
    </comment>
    <comment ref="D45" authorId="0" shapeId="0">
      <text>
        <t>Loan: 0% interest service contract. No interest accrues.</t>
      </text>
    </comment>
    <comment ref="E45" authorId="0" shapeId="0">
      <text>
        <t>Loan: International Financial, ZERO_INTEREST. Principal = MIN(Opening, Payment - Interest).</t>
      </text>
    </comment>
    <comment ref="F45" authorId="0" shapeId="0">
      <text>
        <t>Loan: International Financial, ZERO_INTEREST. Closing = Opening - Principal.</t>
      </text>
    </comment>
    <comment ref="C46" authorId="0" shapeId="0">
      <text>
        <t>Loan: International Financial, ZERO_INTEREST. Prior month closing balance.</t>
      </text>
    </comment>
    <comment ref="D46" authorId="0" shapeId="0">
      <text>
        <t>Loan: 0% interest service contract. No interest accrues.</t>
      </text>
    </comment>
    <comment ref="E46" authorId="0" shapeId="0">
      <text>
        <t>Loan: International Financial, ZERO_INTEREST. Principal = MIN(Opening, Payment - Interest).</t>
      </text>
    </comment>
    <comment ref="F46" authorId="0" shapeId="0">
      <text>
        <t>Loan: International Financial, ZERO_INTEREST. Closing = Opening - Principal.</t>
      </text>
    </comment>
    <comment ref="C47" authorId="0" shapeId="0">
      <text>
        <t>Loan: International Financial, ZERO_INTEREST. Prior month closing balance.</t>
      </text>
    </comment>
    <comment ref="D47" authorId="0" shapeId="0">
      <text>
        <t>Loan: 0% interest service contract. No interest accrues.</t>
      </text>
    </comment>
    <comment ref="E47" authorId="0" shapeId="0">
      <text>
        <t>Loan: International Financial, ZERO_INTEREST. Principal = MIN(Opening, Payment - Interest).</t>
      </text>
    </comment>
    <comment ref="F47" authorId="0" shapeId="0">
      <text>
        <t>Loan: International Financial, ZERO_INTEREST. Closing = Opening - Principal.</t>
      </text>
    </comment>
    <comment ref="C48" authorId="0" shapeId="0">
      <text>
        <t>Loan: International Financial, ZERO_INTEREST. Prior month closing balance.</t>
      </text>
    </comment>
    <comment ref="D48" authorId="0" shapeId="0">
      <text>
        <t>Loan: 0% interest service contract. No interest accrues.</t>
      </text>
    </comment>
    <comment ref="E48" authorId="0" shapeId="0">
      <text>
        <t>Loan: International Financial, ZERO_INTEREST. Principal = MIN(Opening, Payment - Interest).</t>
      </text>
    </comment>
    <comment ref="F48" authorId="0" shapeId="0">
      <text>
        <t>Loan: International Financial, ZERO_INTEREST. Closing = Opening - Principal.</t>
      </text>
    </comment>
    <comment ref="C49" authorId="0" shapeId="0">
      <text>
        <t>Loan: International Financial, ZERO_INTEREST. Prior month closing balance.</t>
      </text>
    </comment>
    <comment ref="D49" authorId="0" shapeId="0">
      <text>
        <t>Loan: 0% interest service contract. No interest accrues.</t>
      </text>
    </comment>
    <comment ref="E49" authorId="0" shapeId="0">
      <text>
        <t>Loan: International Financial, ZERO_INTEREST. Principal = MIN(Opening, Payment - Interest).</t>
      </text>
    </comment>
    <comment ref="F49" authorId="0" shapeId="0">
      <text>
        <t>Loan: International Financial, ZERO_INTEREST. Closing = Opening - Principal.</t>
      </text>
    </comment>
    <comment ref="C50" authorId="0" shapeId="0">
      <text>
        <t>Loan: International Financial, ZERO_INTEREST. Prior month closing balance.</t>
      </text>
    </comment>
    <comment ref="D50" authorId="0" shapeId="0">
      <text>
        <t>Loan: 0% interest service contract. No interest accrues.</t>
      </text>
    </comment>
    <comment ref="E50" authorId="0" shapeId="0">
      <text>
        <t>Loan: International Financial, ZERO_INTEREST. Principal = MIN(Opening, Payment - Interest).</t>
      </text>
    </comment>
    <comment ref="F50" authorId="0" shapeId="0">
      <text>
        <t>Loan: International Financial, ZERO_INTEREST. Closing = Opening - Principal.</t>
      </text>
    </comment>
    <comment ref="C51" authorId="0" shapeId="0">
      <text>
        <t>Loan: International Financial, ZERO_INTEREST. Prior month closing balance.</t>
      </text>
    </comment>
    <comment ref="D51" authorId="0" shapeId="0">
      <text>
        <t>Loan: 0% interest service contract. No interest accrues.</t>
      </text>
    </comment>
    <comment ref="E51" authorId="0" shapeId="0">
      <text>
        <t>Loan: International Financial, ZERO_INTEREST. Principal = MIN(Opening, Payment - Interest).</t>
      </text>
    </comment>
    <comment ref="F51" authorId="0" shapeId="0">
      <text>
        <t>Loan: International Financial, ZERO_INTEREST. Closing = Opening - Principal.</t>
      </text>
    </comment>
    <comment ref="C52" authorId="0" shapeId="0">
      <text>
        <t>Loan: International Financial, ZERO_INTEREST. Prior month closing balance.</t>
      </text>
    </comment>
    <comment ref="D52" authorId="0" shapeId="0">
      <text>
        <t>Loan: 0% interest service contract. No interest accrues.</t>
      </text>
    </comment>
    <comment ref="E52" authorId="0" shapeId="0">
      <text>
        <t>Loan: International Financial, ZERO_INTEREST. Principal = MIN(Opening, Payment - Interest).</t>
      </text>
    </comment>
    <comment ref="F52" authorId="0" shapeId="0">
      <text>
        <t>Loan: International Financial, ZERO_INTEREST. Closing = Opening - Principal.</t>
      </text>
    </comment>
    <comment ref="C53" authorId="0" shapeId="0">
      <text>
        <t>Loan: International Financial, ZERO_INTEREST. Prior month closing balance.</t>
      </text>
    </comment>
    <comment ref="D53" authorId="0" shapeId="0">
      <text>
        <t>Loan: 0% interest service contract. No interest accrues.</t>
      </text>
    </comment>
    <comment ref="E53" authorId="0" shapeId="0">
      <text>
        <t>Loan: International Financial, ZERO_INTEREST. Principal = MIN(Opening, Payment - Interest).</t>
      </text>
    </comment>
    <comment ref="F53" authorId="0" shapeId="0">
      <text>
        <t>Loan: International Financial, ZERO_INTEREST. Closing = Opening - Principal.</t>
      </text>
    </comment>
    <comment ref="C54" authorId="0" shapeId="0">
      <text>
        <t>Loan: International Financial, ZERO_INTEREST. Prior month closing balance.</t>
      </text>
    </comment>
    <comment ref="D54" authorId="0" shapeId="0">
      <text>
        <t>Loan: 0% interest service contract. No interest accrues.</t>
      </text>
    </comment>
    <comment ref="E54" authorId="0" shapeId="0">
      <text>
        <t>Loan: International Financial, ZERO_INTEREST. Principal = MIN(Opening, Payment - Interest).</t>
      </text>
    </comment>
    <comment ref="F54" authorId="0" shapeId="0">
      <text>
        <t>Loan: International Financial, ZERO_INTEREST. Closing = Opening - Principal.</t>
      </text>
    </comment>
    <comment ref="C55" authorId="0" shapeId="0">
      <text>
        <t>Loan: International Financial, ZERO_INTEREST. Prior month closing balance.</t>
      </text>
    </comment>
    <comment ref="D55" authorId="0" shapeId="0">
      <text>
        <t>Loan: 0% interest service contract. No interest accrues.</t>
      </text>
    </comment>
    <comment ref="E55" authorId="0" shapeId="0">
      <text>
        <t>Loan: International Financial, ZERO_INTEREST. Principal = MIN(Opening, Payment - Interest).</t>
      </text>
    </comment>
    <comment ref="F55" authorId="0" shapeId="0">
      <text>
        <t>Loan: International Financial, ZERO_INTEREST. Closing = Opening - Principal.</t>
      </text>
    </comment>
    <comment ref="C56" authorId="0" shapeId="0">
      <text>
        <t>Loan: International Financial, ZERO_INTEREST. Prior month closing balance.</t>
      </text>
    </comment>
    <comment ref="D56" authorId="0" shapeId="0">
      <text>
        <t>Loan: 0% interest service contract. No interest accrues.</t>
      </text>
    </comment>
    <comment ref="E56" authorId="0" shapeId="0">
      <text>
        <t>Loan: International Financial, ZERO_INTEREST. Principal = MIN(Opening, Payment - Interest).</t>
      </text>
    </comment>
    <comment ref="F56" authorId="0" shapeId="0">
      <text>
        <t>Loan: International Financial, ZERO_INTEREST. Closing = Opening - Principal.</t>
      </text>
    </comment>
    <comment ref="C57" authorId="0" shapeId="0">
      <text>
        <t>Loan: International Financial, ZERO_INTEREST. Prior month closing balance.</t>
      </text>
    </comment>
    <comment ref="D57" authorId="0" shapeId="0">
      <text>
        <t>Loan: 0% interest service contract. No interest accrues.</t>
      </text>
    </comment>
    <comment ref="E57" authorId="0" shapeId="0">
      <text>
        <t>Loan: International Financial, ZERO_INTEREST. Principal = MIN(Opening, Payment - Interest).</t>
      </text>
    </comment>
    <comment ref="F57" authorId="0" shapeId="0">
      <text>
        <t>Loan: International Financial, ZERO_INTEREST. Closing = Opening - Principal.</t>
      </text>
    </comment>
    <comment ref="C58" authorId="0" shapeId="0">
      <text>
        <t>Loan: International Financial, ZERO_INTEREST. Prior month closing balance.</t>
      </text>
    </comment>
    <comment ref="D58" authorId="0" shapeId="0">
      <text>
        <t>Loan: 0% interest service contract. No interest accrues.</t>
      </text>
    </comment>
    <comment ref="E58" authorId="0" shapeId="0">
      <text>
        <t>Loan: International Financial, ZERO_INTEREST. Principal = MIN(Opening, Payment - Interest).</t>
      </text>
    </comment>
    <comment ref="F58" authorId="0" shapeId="0">
      <text>
        <t>Loan: International Financial, ZERO_INTEREST. Closing = Opening - Principal.</t>
      </text>
    </comment>
    <comment ref="C59" authorId="0" shapeId="0">
      <text>
        <t>Loan: International Financial, ZERO_INTEREST. Prior month closing balance.</t>
      </text>
    </comment>
    <comment ref="D59" authorId="0" shapeId="0">
      <text>
        <t>Loan: 0% interest service contract. No interest accrues.</t>
      </text>
    </comment>
    <comment ref="E59" authorId="0" shapeId="0">
      <text>
        <t>Loan: International Financial, ZERO_INTEREST. Principal = MIN(Opening, Payment - Interest).</t>
      </text>
    </comment>
    <comment ref="F59" authorId="0" shapeId="0">
      <text>
        <t>Loan: International Financial, ZERO_INTEREST. Closing = Opening - Principal.</t>
      </text>
    </comment>
    <comment ref="C60" authorId="0" shapeId="0">
      <text>
        <t>Loan: International Financial, ZERO_INTEREST. Prior month closing balance.</t>
      </text>
    </comment>
    <comment ref="D60" authorId="0" shapeId="0">
      <text>
        <t>Loan: 0% interest service contract. No interest accrues.</t>
      </text>
    </comment>
    <comment ref="E60" authorId="0" shapeId="0">
      <text>
        <t>Loan: International Financial, ZERO_INTEREST. Principal = MIN(Opening, Payment - Interest).</t>
      </text>
    </comment>
    <comment ref="F60" authorId="0" shapeId="0">
      <text>
        <t>Loan: International Financial, ZERO_INTEREST. Closing = Opening - Principal.</t>
      </text>
    </comment>
    <comment ref="C61" authorId="0" shapeId="0">
      <text>
        <t>Loan: International Financial, ZERO_INTEREST. Prior month closing balance.</t>
      </text>
    </comment>
    <comment ref="D61" authorId="0" shapeId="0">
      <text>
        <t>Loan: 0% interest service contract. No interest accrues.</t>
      </text>
    </comment>
    <comment ref="E61" authorId="0" shapeId="0">
      <text>
        <t>Loan: International Financial, ZERO_INTEREST. Principal = MIN(Opening, Payment - Interest).</t>
      </text>
    </comment>
    <comment ref="F61" authorId="0" shapeId="0">
      <text>
        <t>Loan: International Financial, ZERO_INTEREST. Closing = Opening - Principal.</t>
      </text>
    </comment>
    <comment ref="C62" authorId="0" shapeId="0">
      <text>
        <t>Loan: International Financial, ZERO_INTEREST. Prior month closing balance.</t>
      </text>
    </comment>
    <comment ref="D62" authorId="0" shapeId="0">
      <text>
        <t>Loan: 0% interest service contract. No interest accrues.</t>
      </text>
    </comment>
    <comment ref="E62" authorId="0" shapeId="0">
      <text>
        <t>Loan: International Financial, ZERO_INTEREST. Principal = MIN(Opening, Payment - Interest).</t>
      </text>
    </comment>
    <comment ref="F62" authorId="0" shapeId="0">
      <text>
        <t>Loan: International Financial, ZERO_INTEREST. Closing = Opening - Principal.</t>
      </text>
    </comment>
    <comment ref="C63" authorId="0" shapeId="0">
      <text>
        <t>Loan: International Financial, ZERO_INTEREST. Prior month closing balance.</t>
      </text>
    </comment>
    <comment ref="D63" authorId="0" shapeId="0">
      <text>
        <t>Loan: 0% interest service contract. No interest accrues.</t>
      </text>
    </comment>
    <comment ref="E63" authorId="0" shapeId="0">
      <text>
        <t>Loan: International Financial, ZERO_INTEREST. Principal = MIN(Opening, Payment - Interest).</t>
      </text>
    </comment>
    <comment ref="F63" authorId="0" shapeId="0">
      <text>
        <t>Loan: International Financial, ZERO_INTEREST. Closing = Opening - Principal.</t>
      </text>
    </comment>
    <comment ref="C64" authorId="0" shapeId="0">
      <text>
        <t>Loan: International Financial, ZERO_INTEREST. Prior month closing balance.</t>
      </text>
    </comment>
    <comment ref="D64" authorId="0" shapeId="0">
      <text>
        <t>Loan: 0% interest service contract. No interest accrues.</t>
      </text>
    </comment>
    <comment ref="E64" authorId="0" shapeId="0">
      <text>
        <t>Loan: International Financial, ZERO_INTEREST. Principal = MIN(Opening, Payment - Interest).</t>
      </text>
    </comment>
    <comment ref="F64" authorId="0" shapeId="0">
      <text>
        <t>Loan: International Financial, ZERO_INTEREST. Closing = Opening - Principal.</t>
      </text>
    </comment>
    <comment ref="C65" authorId="0" shapeId="0">
      <text>
        <t>Loan: International Financial, ZERO_INTEREST. Prior month closing balance.</t>
      </text>
    </comment>
    <comment ref="D65" authorId="0" shapeId="0">
      <text>
        <t>Loan: 0% interest service contract. No interest accrues.</t>
      </text>
    </comment>
    <comment ref="E65" authorId="0" shapeId="0">
      <text>
        <t>Loan: International Financial, ZERO_INTEREST. Principal = MIN(Opening, Payment - Interest).</t>
      </text>
    </comment>
    <comment ref="F65" authorId="0" shapeId="0">
      <text>
        <t>Loan: International Financial, ZERO_INTEREST. Closing = Opening - Principal.</t>
      </text>
    </comment>
    <comment ref="C66" authorId="0" shapeId="0">
      <text>
        <t>Loan: International Financial, ZERO_INTEREST. Prior month closing balance.</t>
      </text>
    </comment>
    <comment ref="D66" authorId="0" shapeId="0">
      <text>
        <t>Loan: 0% interest service contract. No interest accrues.</t>
      </text>
    </comment>
    <comment ref="E66" authorId="0" shapeId="0">
      <text>
        <t>Loan: International Financial, ZERO_INTEREST. Principal = MIN(Opening, Payment - Interest).</t>
      </text>
    </comment>
    <comment ref="F66" authorId="0" shapeId="0">
      <text>
        <t>Loan: International Financial, ZERO_INTEREST. Closing = Opening - Principal.</t>
      </text>
    </comment>
    <comment ref="C67" authorId="0" shapeId="0">
      <text>
        <t>Loan: International Financial, ZERO_INTEREST. Prior month closing balance.</t>
      </text>
    </comment>
    <comment ref="D67" authorId="0" shapeId="0">
      <text>
        <t>Loan: 0% interest service contract. No interest accrues.</t>
      </text>
    </comment>
    <comment ref="E67" authorId="0" shapeId="0">
      <text>
        <t>Loan: International Financial, ZERO_INTEREST. Principal = MIN(Opening, Payment - Interest).</t>
      </text>
    </comment>
    <comment ref="F67" authorId="0" shapeId="0">
      <text>
        <t>Loan: International Financial, ZERO_INTEREST. Closing = Opening - Principal.</t>
      </text>
    </comment>
    <comment ref="C68" authorId="0" shapeId="0">
      <text>
        <t>Loan: International Financial, ZERO_INTEREST. Prior month closing balance.</t>
      </text>
    </comment>
    <comment ref="D68" authorId="0" shapeId="0">
      <text>
        <t>Loan: 0% interest service contract. No interest accrues.</t>
      </text>
    </comment>
    <comment ref="E68" authorId="0" shapeId="0">
      <text>
        <t>Loan: International Financial, ZERO_INTEREST. Principal = MIN(Opening, Payment - Interest).</t>
      </text>
    </comment>
    <comment ref="F68" authorId="0" shapeId="0">
      <text>
        <t>Loan: International Financial, ZERO_INTEREST. Closing = Opening - Principal.</t>
      </text>
    </comment>
    <comment ref="C69" authorId="0" shapeId="0">
      <text>
        <t>Loan: International Financial, ZERO_INTEREST. Prior month closing balance.</t>
      </text>
    </comment>
    <comment ref="D69" authorId="0" shapeId="0">
      <text>
        <t>Loan: 0% interest service contract. No interest accrues.</t>
      </text>
    </comment>
    <comment ref="E69" authorId="0" shapeId="0">
      <text>
        <t>Loan: International Financial, ZERO_INTEREST. Principal = MIN(Opening, Payment - Interest).</t>
      </text>
    </comment>
    <comment ref="F69" authorId="0" shapeId="0">
      <text>
        <t>Loan: International Financial, ZERO_INTEREST. Closing = Opening - Principal.</t>
      </text>
    </comment>
    <comment ref="C70" authorId="0" shapeId="0">
      <text>
        <t>Loan: International Financial, ZERO_INTEREST. Prior month closing balance.</t>
      </text>
    </comment>
    <comment ref="D70" authorId="0" shapeId="0">
      <text>
        <t>Loan: 0% interest service contract. No interest accrues.</t>
      </text>
    </comment>
    <comment ref="E70" authorId="0" shapeId="0">
      <text>
        <t>Loan: International Financial, ZERO_INTEREST. Principal = MIN(Opening, Payment - Interest).</t>
      </text>
    </comment>
    <comment ref="F70" authorId="0" shapeId="0">
      <text>
        <t>Loan: International Financial, ZERO_INTEREST. Closing = Opening - Principal.</t>
      </text>
    </comment>
    <comment ref="C71" authorId="0" shapeId="0">
      <text>
        <t>Loan: International Financial, ZERO_INTEREST. Prior month closing balance.</t>
      </text>
    </comment>
    <comment ref="D71" authorId="0" shapeId="0">
      <text>
        <t>Loan: 0% interest service contract. No interest accrues.</t>
      </text>
    </comment>
    <comment ref="E71" authorId="0" shapeId="0">
      <text>
        <t>Loan: International Financial, ZERO_INTEREST. Principal = MIN(Opening, Payment - Interest).</t>
      </text>
    </comment>
    <comment ref="F71" authorId="0" shapeId="0">
      <text>
        <t>Loan: International Financial, ZERO_INTEREST. Closing = Opening - Principal.</t>
      </text>
    </comment>
    <comment ref="C72" authorId="0" shapeId="0">
      <text>
        <t>Loan: International Financial, ZERO_INTEREST. Prior month closing balance.</t>
      </text>
    </comment>
    <comment ref="D72" authorId="0" shapeId="0">
      <text>
        <t>Loan: 0% interest service contract. No interest accrues.</t>
      </text>
    </comment>
    <comment ref="E72" authorId="0" shapeId="0">
      <text>
        <t>Loan: International Financial, ZERO_INTEREST. Principal = MIN(Opening, Payment - Interest).</t>
      </text>
    </comment>
    <comment ref="F72" authorId="0" shapeId="0">
      <text>
        <t>Loan: International Financial, ZERO_INTEREST. Closing = Opening - Principal.</t>
      </text>
    </comment>
    <comment ref="C73" authorId="0" shapeId="0">
      <text>
        <t>Loan: International Financial, ZERO_INTEREST. Prior month closing balance.</t>
      </text>
    </comment>
    <comment ref="D73" authorId="0" shapeId="0">
      <text>
        <t>Loan: 0% interest service contract. No interest accrues.</t>
      </text>
    </comment>
    <comment ref="E73" authorId="0" shapeId="0">
      <text>
        <t>Loan: International Financial, ZERO_INTEREST. Principal = MIN(Opening, Payment - Interest).</t>
      </text>
    </comment>
    <comment ref="F73" authorId="0" shapeId="0">
      <text>
        <t>Loan: International Financial, ZERO_INTEREST. Closing = Opening - Principal.</t>
      </text>
    </comment>
    <comment ref="C74" authorId="0" shapeId="0">
      <text>
        <t>Loan: International Financial, ZERO_INTEREST. Prior month closing balance.</t>
      </text>
    </comment>
    <comment ref="D74" authorId="0" shapeId="0">
      <text>
        <t>Loan: 0% interest service contract. No interest accrues.</t>
      </text>
    </comment>
    <comment ref="E74" authorId="0" shapeId="0">
      <text>
        <t>Loan: International Financial, ZERO_INTEREST. Principal = MIN(Opening, Payment - Interest).</t>
      </text>
    </comment>
    <comment ref="F74" authorId="0" shapeId="0">
      <text>
        <t>Loan: International Financial, ZERO_INTEREST. Closing = Opening - Principal.</t>
      </text>
    </comment>
    <comment ref="C75" authorId="0" shapeId="0">
      <text>
        <t>Loan: International Financial, ZERO_INTEREST. Prior month closing balance.</t>
      </text>
    </comment>
    <comment ref="D75" authorId="0" shapeId="0">
      <text>
        <t>Loan: 0% interest service contract. No interest accrues.</t>
      </text>
    </comment>
    <comment ref="E75" authorId="0" shapeId="0">
      <text>
        <t>Loan: International Financial, ZERO_INTEREST. Principal = MIN(Opening, Payment - Interest).</t>
      </text>
    </comment>
    <comment ref="F75" authorId="0" shapeId="0">
      <text>
        <t>Loan: International Financial, ZERO_INTEREST. Closing = Opening - Principal.</t>
      </text>
    </comment>
    <comment ref="C76" authorId="0" shapeId="0">
      <text>
        <t>Loan: International Financial, ZERO_INTEREST. Prior month closing balance.</t>
      </text>
    </comment>
    <comment ref="D76" authorId="0" shapeId="0">
      <text>
        <t>Loan: 0% interest service contract. No interest accrues.</t>
      </text>
    </comment>
    <comment ref="E76" authorId="0" shapeId="0">
      <text>
        <t>Loan: International Financial, ZERO_INTEREST. Principal = MIN(Opening, Payment - Interest).</t>
      </text>
    </comment>
    <comment ref="F76" authorId="0" shapeId="0">
      <text>
        <t>Loan: International Financial, ZERO_INTEREST. Closing = Opening - Principal.</t>
      </text>
    </comment>
    <comment ref="C77" authorId="0" shapeId="0">
      <text>
        <t>Loan: International Financial, ZERO_INTEREST. Prior month closing balance.</t>
      </text>
    </comment>
    <comment ref="D77" authorId="0" shapeId="0">
      <text>
        <t>Loan: 0% interest service contract. No interest accrues.</t>
      </text>
    </comment>
    <comment ref="E77" authorId="0" shapeId="0">
      <text>
        <t>Loan: International Financial, ZERO_INTEREST. Principal = MIN(Opening, Payment - Interest).</t>
      </text>
    </comment>
    <comment ref="F77" authorId="0" shapeId="0">
      <text>
        <t>Loan: International Financial, ZERO_INTEREST. Closing = Opening - Principal.</t>
      </text>
    </comment>
    <comment ref="C78" authorId="0" shapeId="0">
      <text>
        <t>Loan: International Financial, ZERO_INTEREST. Prior month closing balance.</t>
      </text>
    </comment>
    <comment ref="D78" authorId="0" shapeId="0">
      <text>
        <t>Loan: 0% interest service contract. No interest accrues.</t>
      </text>
    </comment>
    <comment ref="E78" authorId="0" shapeId="0">
      <text>
        <t>Loan: International Financial, ZERO_INTEREST. Principal = MIN(Opening, Payment - Interest).</t>
      </text>
    </comment>
    <comment ref="F78" authorId="0" shapeId="0">
      <text>
        <t>Loan: International Financial, ZERO_INTEREST. Closing = Opening - Principal.</t>
      </text>
    </comment>
    <comment ref="C79" authorId="0" shapeId="0">
      <text>
        <t>Loan: International Financial, ZERO_INTEREST. Prior month closing balance.</t>
      </text>
    </comment>
    <comment ref="D79" authorId="0" shapeId="0">
      <text>
        <t>Loan: 0% interest service contract. No interest accrues.</t>
      </text>
    </comment>
    <comment ref="E79" authorId="0" shapeId="0">
      <text>
        <t>Loan: International Financial, ZERO_INTEREST. Principal = MIN(Opening, Payment - Interest).</t>
      </text>
    </comment>
    <comment ref="F79" authorId="0" shapeId="0">
      <text>
        <t>Loan: International Financial, ZERO_INTEREST. Closing = Opening - Principal.</t>
      </text>
    </comment>
    <comment ref="C80" authorId="0" shapeId="0">
      <text>
        <t>Loan: International Financial, ZERO_INTEREST. Prior month closing balance.</t>
      </text>
    </comment>
    <comment ref="D80" authorId="0" shapeId="0">
      <text>
        <t>Loan: 0% interest service contract. No interest accrues.</t>
      </text>
    </comment>
    <comment ref="E80" authorId="0" shapeId="0">
      <text>
        <t>Loan: International Financial, ZERO_INTEREST. Principal = MIN(Opening, Payment - Interest).</t>
      </text>
    </comment>
    <comment ref="F80" authorId="0" shapeId="0">
      <text>
        <t>Loan: International Financial, ZERO_INTEREST. Closing = Opening - Principal.</t>
      </text>
    </comment>
    <comment ref="C81" authorId="0" shapeId="0">
      <text>
        <t>Loan: International Financial, ZERO_INTEREST. Prior month closing balance.</t>
      </text>
    </comment>
    <comment ref="D81" authorId="0" shapeId="0">
      <text>
        <t>Loan: 0% interest service contract. No interest accrues.</t>
      </text>
    </comment>
    <comment ref="E81" authorId="0" shapeId="0">
      <text>
        <t>Loan: International Financial, ZERO_INTEREST. Principal = MIN(Opening, Payment - Interest).</t>
      </text>
    </comment>
    <comment ref="F81" authorId="0" shapeId="0">
      <text>
        <t>Loan: International Financial, ZERO_INTEREST. Closing = Opening - Principal.</t>
      </text>
    </comment>
    <comment ref="B86" authorId="0" shapeId="0">
      <text>
        <t>Sum of rows 24-35: Year 2026 beginning balance.</t>
      </text>
    </comment>
    <comment ref="C86" authorId="0" shapeId="0">
      <text>
        <t>Sum of rows 24-35: Total interest for year 2026.</t>
      </text>
    </comment>
    <comment ref="D86" authorId="0" shapeId="0">
      <text>
        <t>Sum of rows 24-35: Total principal for year 2026.</t>
      </text>
    </comment>
    <comment ref="E86" authorId="0" shapeId="0">
      <text>
        <t>Sum of rows 24-35: Year 2026 ending balance.</t>
      </text>
    </comment>
    <comment ref="B87" authorId="0" shapeId="0">
      <text>
        <t>Sum of rows 36-47: Year 2027 beginning balance.</t>
      </text>
    </comment>
    <comment ref="C87" authorId="0" shapeId="0">
      <text>
        <t>Sum of rows 36-47: Total interest for year 2027.</t>
      </text>
    </comment>
    <comment ref="D87" authorId="0" shapeId="0">
      <text>
        <t>Sum of rows 36-47: Total principal for year 2027.</t>
      </text>
    </comment>
    <comment ref="E87" authorId="0" shapeId="0">
      <text>
        <t>Sum of rows 36-47: Year 2027 ending balance.</t>
      </text>
    </comment>
    <comment ref="B88" authorId="0" shapeId="0">
      <text>
        <t>Sum of rows 48-59: Year 2028 beginning balance.</t>
      </text>
    </comment>
    <comment ref="C88" authorId="0" shapeId="0">
      <text>
        <t>Sum of rows 48-59: Total interest for year 2028.</t>
      </text>
    </comment>
    <comment ref="D88" authorId="0" shapeId="0">
      <text>
        <t>Sum of rows 48-59: Total principal for year 2028.</t>
      </text>
    </comment>
    <comment ref="E88" authorId="0" shapeId="0">
      <text>
        <t>Sum of rows 48-59: Year 2028 ending balance.</t>
      </text>
    </comment>
    <comment ref="B89" authorId="0" shapeId="0">
      <text>
        <t>Sum of rows 60-71: Year 2029 beginning balance.</t>
      </text>
    </comment>
    <comment ref="C89" authorId="0" shapeId="0">
      <text>
        <t>Sum of rows 60-71: Total interest for year 2029.</t>
      </text>
    </comment>
    <comment ref="D89" authorId="0" shapeId="0">
      <text>
        <t>Sum of rows 60-71: Total principal for year 2029.</t>
      </text>
    </comment>
    <comment ref="E89" authorId="0" shapeId="0">
      <text>
        <t>Sum of rows 60-71: Year 2029 ending balance.</t>
      </text>
    </comment>
    <comment ref="B90" authorId="0" shapeId="0">
      <text>
        <t>Sum of rows 72-81: Year 2030 beginning balance.</t>
      </text>
    </comment>
    <comment ref="C90" authorId="0" shapeId="0">
      <text>
        <t>Sum of rows 72-81: Total interest for year 2030.</t>
      </text>
    </comment>
    <comment ref="D90" authorId="0" shapeId="0">
      <text>
        <t>Sum of rows 72-81: Total principal for year 2030.</t>
      </text>
    </comment>
    <comment ref="E90" authorId="0" shapeId="0">
      <text>
        <t>Sum of rows 72-81: Year 2030 ending balance.</t>
      </text>
    </comment>
    <comment ref="B93" authorId="0" shapeId="0">
      <text>
        <t>Links to: Debt Schedule. Current balance as of 12/31/2025 for 17 International Service Contract 809-825.</t>
      </text>
    </comment>
  </commentList>
</comments>
</file>

<file path=xl/comments/comment55.xml><?xml version="1.0" encoding="utf-8"?>
<comments xmlns="http://schemas.openxmlformats.org/spreadsheetml/2006/main">
  <authors>
    <author>Model Builder</author>
  </authors>
  <commentList>
    <comment ref="B6" authorId="0" shapeId="0">
      <text>
        <t>Source: loans.md - BMO Loan 9334399001
Balance as of 12/31/2025</t>
      </text>
    </comment>
    <comment ref="B7" authorId="0" shapeId="0">
      <text>
        <t>Source: loans.md - BMO Loan 9334399001
Fixed rate per loan agreement</t>
      </text>
    </comment>
    <comment ref="B8" authorId="0" shapeId="0">
      <text>
        <t>Source: loans.md - BMO Loan 9334399001
Fixed monthly payment</t>
      </text>
    </comment>
    <comment ref="C23" authorId="0" shapeId="0">
      <text>
        <t>Loan: BMO 25 Trailers, 9334399001. Source: loans.md</t>
      </text>
    </comment>
    <comment ref="D23" authorId="0" shapeId="0">
      <text>
        <t>Loan: BMO 25 Trailers. Interest = Opening * AnnualRate/12</t>
      </text>
    </comment>
    <comment ref="E23" authorId="0" shapeId="0">
      <text>
        <t>Loan: BMO 25 Trailers. Principal = Payment - Interest (capped at opening)</t>
      </text>
    </comment>
    <comment ref="F23" authorId="0" shapeId="0">
      <text>
        <t>Loan: BMO 25 Trailers. Closing = Opening - Principal</t>
      </text>
    </comment>
    <comment ref="C24" authorId="0" shapeId="0">
      <text>
        <t>Loan: BMO 25 Trailers, 9334399001. Source: loans.md</t>
      </text>
    </comment>
    <comment ref="D24" authorId="0" shapeId="0">
      <text>
        <t>Loan: BMO 25 Trailers. Interest = Opening * AnnualRate/12</t>
      </text>
    </comment>
    <comment ref="E24" authorId="0" shapeId="0">
      <text>
        <t>Loan: BMO 25 Trailers. Principal = Payment - Interest (capped at opening)</t>
      </text>
    </comment>
    <comment ref="F24" authorId="0" shapeId="0">
      <text>
        <t>Loan: BMO 25 Trailers. Closing = Opening - Principal</t>
      </text>
    </comment>
    <comment ref="C25" authorId="0" shapeId="0">
      <text>
        <t>Loan: BMO 25 Trailers, 9334399001. Source: loans.md</t>
      </text>
    </comment>
    <comment ref="D25" authorId="0" shapeId="0">
      <text>
        <t>Loan: BMO 25 Trailers. Interest = Opening * AnnualRate/12</t>
      </text>
    </comment>
    <comment ref="E25" authorId="0" shapeId="0">
      <text>
        <t>Loan: BMO 25 Trailers. Principal = Payment - Interest (capped at opening)</t>
      </text>
    </comment>
    <comment ref="F25" authorId="0" shapeId="0">
      <text>
        <t>Loan: BMO 25 Trailers. Closing = Opening - Principal</t>
      </text>
    </comment>
    <comment ref="C26" authorId="0" shapeId="0">
      <text>
        <t>Loan: BMO 25 Trailers, 9334399001. Source: loans.md</t>
      </text>
    </comment>
    <comment ref="D26" authorId="0" shapeId="0">
      <text>
        <t>Loan: BMO 25 Trailers. Interest = Opening * AnnualRate/12</t>
      </text>
    </comment>
    <comment ref="E26" authorId="0" shapeId="0">
      <text>
        <t>Loan: BMO 25 Trailers. Principal = Payment - Interest (capped at opening)</t>
      </text>
    </comment>
    <comment ref="F26" authorId="0" shapeId="0">
      <text>
        <t>Loan: BMO 25 Trailers. Closing = Opening - Principal</t>
      </text>
    </comment>
    <comment ref="C27" authorId="0" shapeId="0">
      <text>
        <t>Loan: BMO 25 Trailers, 9334399001. Source: loans.md</t>
      </text>
    </comment>
    <comment ref="D27" authorId="0" shapeId="0">
      <text>
        <t>Loan: BMO 25 Trailers. Interest = Opening * AnnualRate/12</t>
      </text>
    </comment>
    <comment ref="E27" authorId="0" shapeId="0">
      <text>
        <t>Loan: BMO 25 Trailers. Principal = Payment - Interest (capped at opening)</t>
      </text>
    </comment>
    <comment ref="F27" authorId="0" shapeId="0">
      <text>
        <t>Loan: BMO 25 Trailers. Closing = Opening - Principal</t>
      </text>
    </comment>
    <comment ref="C28" authorId="0" shapeId="0">
      <text>
        <t>Loan: BMO 25 Trailers, 9334399001. Source: loans.md</t>
      </text>
    </comment>
    <comment ref="D28" authorId="0" shapeId="0">
      <text>
        <t>Loan: BMO 25 Trailers. Interest = Opening * AnnualRate/12</t>
      </text>
    </comment>
    <comment ref="E28" authorId="0" shapeId="0">
      <text>
        <t>Loan: BMO 25 Trailers. Principal = Payment - Interest (capped at opening)</t>
      </text>
    </comment>
    <comment ref="F28" authorId="0" shapeId="0">
      <text>
        <t>Loan: BMO 25 Trailers. Closing = Opening - Principal</t>
      </text>
    </comment>
    <comment ref="C29" authorId="0" shapeId="0">
      <text>
        <t>Loan: BMO 25 Trailers, 9334399001. Source: loans.md</t>
      </text>
    </comment>
    <comment ref="D29" authorId="0" shapeId="0">
      <text>
        <t>Loan: BMO 25 Trailers. Interest = Opening * AnnualRate/12</t>
      </text>
    </comment>
    <comment ref="E29" authorId="0" shapeId="0">
      <text>
        <t>Loan: BMO 25 Trailers. Principal = Payment - Interest (capped at opening)</t>
      </text>
    </comment>
    <comment ref="F29" authorId="0" shapeId="0">
      <text>
        <t>Loan: BMO 25 Trailers. Closing = Opening - Principal</t>
      </text>
    </comment>
    <comment ref="C30" authorId="0" shapeId="0">
      <text>
        <t>Loan: BMO 25 Trailers, 9334399001. Source: loans.md</t>
      </text>
    </comment>
    <comment ref="D30" authorId="0" shapeId="0">
      <text>
        <t>Loan: BMO 25 Trailers. Interest = Opening * AnnualRate/12</t>
      </text>
    </comment>
    <comment ref="E30" authorId="0" shapeId="0">
      <text>
        <t>Loan: BMO 25 Trailers. Principal = Payment - Interest (capped at opening)</t>
      </text>
    </comment>
    <comment ref="F30" authorId="0" shapeId="0">
      <text>
        <t>Loan: BMO 25 Trailers. Closing = Opening - Principal</t>
      </text>
    </comment>
    <comment ref="C31" authorId="0" shapeId="0">
      <text>
        <t>Loan: BMO 25 Trailers, 9334399001. Source: loans.md</t>
      </text>
    </comment>
    <comment ref="D31" authorId="0" shapeId="0">
      <text>
        <t>Loan: BMO 25 Trailers. Interest = Opening * AnnualRate/12</t>
      </text>
    </comment>
    <comment ref="E31" authorId="0" shapeId="0">
      <text>
        <t>Loan: BMO 25 Trailers. Principal = Payment - Interest (capped at opening)</t>
      </text>
    </comment>
    <comment ref="F31" authorId="0" shapeId="0">
      <text>
        <t>Loan: BMO 25 Trailers. Closing = Opening - Principal</t>
      </text>
    </comment>
    <comment ref="C35" authorId="0" shapeId="0">
      <text>
        <t>Sum of rows 23: Opening balance for 2026</t>
      </text>
    </comment>
    <comment ref="D35" authorId="0" shapeId="0">
      <text>
        <t>Sum of rows 23-31: Total interest for 2026</t>
      </text>
    </comment>
    <comment ref="E35" authorId="0" shapeId="0">
      <text>
        <t>Sum of rows 23-31: Total principal for 2026</t>
      </text>
    </comment>
    <comment ref="F35" authorId="0" shapeId="0">
      <text>
        <t>Row 31: Ending balance for 2026</t>
      </text>
    </comment>
  </commentList>
</comments>
</file>

<file path=xl/comments/comment56.xml><?xml version="1.0" encoding="utf-8"?>
<comments xmlns="http://schemas.openxmlformats.org/spreadsheetml/2006/main">
  <authors>
    <author>Model Builder</author>
  </authors>
  <commentList>
    <comment ref="B6" authorId="0" shapeId="0">
      <text>
        <t>Source: loans.md - BMO Loan 9310002001
Balance as of 12/31/2025</t>
      </text>
    </comment>
    <comment ref="B7" authorId="0" shapeId="0">
      <text>
        <t>Source: loans.md - BMO Loan 9310002001
Fixed rate per loan agreement</t>
      </text>
    </comment>
    <comment ref="B8" authorId="0" shapeId="0">
      <text>
        <t>Source: loans.md - BMO Loan 9310002001
Fixed monthly payment</t>
      </text>
    </comment>
    <comment ref="C23" authorId="0" shapeId="0">
      <text>
        <t>Loan: BMO 27 Trailers, 9310002001. Source: loans.md</t>
      </text>
    </comment>
    <comment ref="D23" authorId="0" shapeId="0">
      <text>
        <t>Loan: BMO 27 Trailers. Interest = Opening * AnnualRate/12</t>
      </text>
    </comment>
    <comment ref="E23" authorId="0" shapeId="0">
      <text>
        <t>Loan: BMO 27 Trailers. Principal = Payment - Interest (capped at opening)</t>
      </text>
    </comment>
    <comment ref="F23" authorId="0" shapeId="0">
      <text>
        <t>Loan: BMO 27 Trailers. Closing = Opening - Principal</t>
      </text>
    </comment>
    <comment ref="C24" authorId="0" shapeId="0">
      <text>
        <t>Loan: BMO 27 Trailers, 9310002001. Source: loans.md</t>
      </text>
    </comment>
    <comment ref="D24" authorId="0" shapeId="0">
      <text>
        <t>Loan: BMO 27 Trailers. Interest = Opening * AnnualRate/12</t>
      </text>
    </comment>
    <comment ref="E24" authorId="0" shapeId="0">
      <text>
        <t>Loan: BMO 27 Trailers. Principal = Payment - Interest (capped at opening)</t>
      </text>
    </comment>
    <comment ref="F24" authorId="0" shapeId="0">
      <text>
        <t>Loan: BMO 27 Trailers. Closing = Opening - Principal</t>
      </text>
    </comment>
    <comment ref="C25" authorId="0" shapeId="0">
      <text>
        <t>Loan: BMO 27 Trailers, 9310002001. Source: loans.md</t>
      </text>
    </comment>
    <comment ref="D25" authorId="0" shapeId="0">
      <text>
        <t>Loan: BMO 27 Trailers. Interest = Opening * AnnualRate/12</t>
      </text>
    </comment>
    <comment ref="E25" authorId="0" shapeId="0">
      <text>
        <t>Loan: BMO 27 Trailers. Principal = Payment - Interest (capped at opening)</t>
      </text>
    </comment>
    <comment ref="F25" authorId="0" shapeId="0">
      <text>
        <t>Loan: BMO 27 Trailers. Closing = Opening - Principal</t>
      </text>
    </comment>
    <comment ref="C26" authorId="0" shapeId="0">
      <text>
        <t>Loan: BMO 27 Trailers, 9310002001. Source: loans.md</t>
      </text>
    </comment>
    <comment ref="D26" authorId="0" shapeId="0">
      <text>
        <t>Loan: BMO 27 Trailers. Interest = Opening * AnnualRate/12</t>
      </text>
    </comment>
    <comment ref="E26" authorId="0" shapeId="0">
      <text>
        <t>Loan: BMO 27 Trailers. Principal = Payment - Interest (capped at opening)</t>
      </text>
    </comment>
    <comment ref="F26" authorId="0" shapeId="0">
      <text>
        <t>Loan: BMO 27 Trailers. Closing = Opening - Principal</t>
      </text>
    </comment>
    <comment ref="C27" authorId="0" shapeId="0">
      <text>
        <t>Loan: BMO 27 Trailers, 9310002001. Source: loans.md</t>
      </text>
    </comment>
    <comment ref="D27" authorId="0" shapeId="0">
      <text>
        <t>Loan: BMO 27 Trailers. Interest = Opening * AnnualRate/12</t>
      </text>
    </comment>
    <comment ref="E27" authorId="0" shapeId="0">
      <text>
        <t>Loan: BMO 27 Trailers. Principal = Payment - Interest (capped at opening)</t>
      </text>
    </comment>
    <comment ref="F27" authorId="0" shapeId="0">
      <text>
        <t>Loan: BMO 27 Trailers. Closing = Opening - Principal</t>
      </text>
    </comment>
    <comment ref="C28" authorId="0" shapeId="0">
      <text>
        <t>Loan: BMO 27 Trailers, 9310002001. Source: loans.md</t>
      </text>
    </comment>
    <comment ref="D28" authorId="0" shapeId="0">
      <text>
        <t>Loan: BMO 27 Trailers. Interest = Opening * AnnualRate/12</t>
      </text>
    </comment>
    <comment ref="E28" authorId="0" shapeId="0">
      <text>
        <t>Loan: BMO 27 Trailers. Principal = Payment - Interest (capped at opening)</t>
      </text>
    </comment>
    <comment ref="F28" authorId="0" shapeId="0">
      <text>
        <t>Loan: BMO 27 Trailers. Closing = Opening - Principal</t>
      </text>
    </comment>
    <comment ref="C29" authorId="0" shapeId="0">
      <text>
        <t>Loan: BMO 27 Trailers, 9310002001. Source: loans.md</t>
      </text>
    </comment>
    <comment ref="D29" authorId="0" shapeId="0">
      <text>
        <t>Loan: BMO 27 Trailers. Interest = Opening * AnnualRate/12</t>
      </text>
    </comment>
    <comment ref="E29" authorId="0" shapeId="0">
      <text>
        <t>Loan: BMO 27 Trailers. Principal = Payment - Interest (capped at opening)</t>
      </text>
    </comment>
    <comment ref="F29" authorId="0" shapeId="0">
      <text>
        <t>Loan: BMO 27 Trailers. Closing = Opening - Principal</t>
      </text>
    </comment>
    <comment ref="C30" authorId="0" shapeId="0">
      <text>
        <t>Loan: BMO 27 Trailers, 9310002001. Source: loans.md</t>
      </text>
    </comment>
    <comment ref="D30" authorId="0" shapeId="0">
      <text>
        <t>Loan: BMO 27 Trailers. Interest = Opening * AnnualRate/12</t>
      </text>
    </comment>
    <comment ref="E30" authorId="0" shapeId="0">
      <text>
        <t>Loan: BMO 27 Trailers. Principal = Payment - Interest (capped at opening)</t>
      </text>
    </comment>
    <comment ref="F30" authorId="0" shapeId="0">
      <text>
        <t>Loan: BMO 27 Trailers. Closing = Opening - Principal</t>
      </text>
    </comment>
    <comment ref="C31" authorId="0" shapeId="0">
      <text>
        <t>Loan: BMO 27 Trailers, 9310002001. Source: loans.md</t>
      </text>
    </comment>
    <comment ref="D31" authorId="0" shapeId="0">
      <text>
        <t>Loan: BMO 27 Trailers. Interest = Opening * AnnualRate/12</t>
      </text>
    </comment>
    <comment ref="E31" authorId="0" shapeId="0">
      <text>
        <t>Loan: BMO 27 Trailers. Principal = Payment - Interest (capped at opening)</t>
      </text>
    </comment>
    <comment ref="F31" authorId="0" shapeId="0">
      <text>
        <t>Loan: BMO 27 Trailers. Closing = Opening - Principal</t>
      </text>
    </comment>
    <comment ref="C32" authorId="0" shapeId="0">
      <text>
        <t>Loan: BMO 27 Trailers, 9310002001. Source: loans.md</t>
      </text>
    </comment>
    <comment ref="D32" authorId="0" shapeId="0">
      <text>
        <t>Loan: BMO 27 Trailers. Interest = Opening * AnnualRate/12</t>
      </text>
    </comment>
    <comment ref="E32" authorId="0" shapeId="0">
      <text>
        <t>Loan: BMO 27 Trailers. Principal = Payment - Interest (capped at opening)</t>
      </text>
    </comment>
    <comment ref="F32" authorId="0" shapeId="0">
      <text>
        <t>Loan: BMO 27 Trailers. Closing = Opening - Principal</t>
      </text>
    </comment>
    <comment ref="C33" authorId="0" shapeId="0">
      <text>
        <t>Loan: BMO 27 Trailers, 9310002001. Source: loans.md</t>
      </text>
    </comment>
    <comment ref="D33" authorId="0" shapeId="0">
      <text>
        <t>Loan: BMO 27 Trailers. Interest = Opening * AnnualRate/12</t>
      </text>
    </comment>
    <comment ref="E33" authorId="0" shapeId="0">
      <text>
        <t>Loan: BMO 27 Trailers. Principal = Payment - Interest (capped at opening)</t>
      </text>
    </comment>
    <comment ref="F33" authorId="0" shapeId="0">
      <text>
        <t>Loan: BMO 27 Trailers. Closing = Opening - Principal</t>
      </text>
    </comment>
    <comment ref="C34" authorId="0" shapeId="0">
      <text>
        <t>Loan: BMO 27 Trailers, 9310002001. Source: loans.md</t>
      </text>
    </comment>
    <comment ref="D34" authorId="0" shapeId="0">
      <text>
        <t>Loan: BMO 27 Trailers. Interest = Opening * AnnualRate/12</t>
      </text>
    </comment>
    <comment ref="E34" authorId="0" shapeId="0">
      <text>
        <t>Loan: BMO 27 Trailers. Principal = Payment - Interest (capped at opening)</t>
      </text>
    </comment>
    <comment ref="F34" authorId="0" shapeId="0">
      <text>
        <t>Loan: BMO 27 Trailers. Closing = Opening - Principal</t>
      </text>
    </comment>
    <comment ref="C35" authorId="0" shapeId="0">
      <text>
        <t>Loan: BMO 27 Trailers, 9310002001. Source: loans.md</t>
      </text>
    </comment>
    <comment ref="D35" authorId="0" shapeId="0">
      <text>
        <t>Loan: BMO 27 Trailers. Interest = Opening * AnnualRate/12</t>
      </text>
    </comment>
    <comment ref="E35" authorId="0" shapeId="0">
      <text>
        <t>Loan: BMO 27 Trailers. Principal = Payment - Interest (capped at opening)</t>
      </text>
    </comment>
    <comment ref="F35" authorId="0" shapeId="0">
      <text>
        <t>Loan: BMO 27 Trailers. Closing = Opening - Principal</t>
      </text>
    </comment>
    <comment ref="C39" authorId="0" shapeId="0">
      <text>
        <t>Sum of rows 23: Opening balance for 2026</t>
      </text>
    </comment>
    <comment ref="D39" authorId="0" shapeId="0">
      <text>
        <t>Sum of rows 23-34: Total interest for 2026</t>
      </text>
    </comment>
    <comment ref="E39" authorId="0" shapeId="0">
      <text>
        <t>Sum of rows 23-34: Total principal for 2026</t>
      </text>
    </comment>
    <comment ref="F39" authorId="0" shapeId="0">
      <text>
        <t>Row 34: Ending balance for 2026</t>
      </text>
    </comment>
    <comment ref="C40" authorId="0" shapeId="0">
      <text>
        <t>Sum of rows 35: Opening balance for 2027</t>
      </text>
    </comment>
    <comment ref="D40" authorId="0" shapeId="0">
      <text>
        <t>Sum of rows 35-35: Total interest for 2027</t>
      </text>
    </comment>
    <comment ref="E40" authorId="0" shapeId="0">
      <text>
        <t>Sum of rows 35-35: Total principal for 2027</t>
      </text>
    </comment>
    <comment ref="F40" authorId="0" shapeId="0">
      <text>
        <t>Row 35: Ending balance for 2027</t>
      </text>
    </comment>
  </commentList>
</comments>
</file>

<file path=xl/comments/comment57.xml><?xml version="1.0" encoding="utf-8"?>
<comments xmlns="http://schemas.openxmlformats.org/spreadsheetml/2006/main">
  <authors>
    <author>Model Builder</author>
  </authors>
  <commentList>
    <comment ref="B6" authorId="0" shapeId="0">
      <text>
        <t>Source: loans.md - BMO Loan 9326429001
Balance as of 12/31/2025</t>
      </text>
    </comment>
    <comment ref="B7" authorId="0" shapeId="0">
      <text>
        <t>Source: loans.md - BMO Loan 9326429001
Fixed rate per loan agreement</t>
      </text>
    </comment>
    <comment ref="B8" authorId="0" shapeId="0">
      <text>
        <t>Source: loans.md - BMO Loan 9326429001
Fixed monthly payment</t>
      </text>
    </comment>
    <comment ref="C23" authorId="0" shapeId="0">
      <text>
        <t>Loan: BMO 25 Trailers, 9326429001. Source: loans.md</t>
      </text>
    </comment>
    <comment ref="D23" authorId="0" shapeId="0">
      <text>
        <t>Loan: BMO 25 Trailers. Interest = Opening * AnnualRate/12</t>
      </text>
    </comment>
    <comment ref="E23" authorId="0" shapeId="0">
      <text>
        <t>Loan: BMO 25 Trailers. Principal = Payment - Interest (capped at opening)</t>
      </text>
    </comment>
    <comment ref="F23" authorId="0" shapeId="0">
      <text>
        <t>Loan: BMO 25 Trailers. Closing = Opening - Principal</t>
      </text>
    </comment>
    <comment ref="C24" authorId="0" shapeId="0">
      <text>
        <t>Loan: BMO 25 Trailers, 9326429001. Source: loans.md</t>
      </text>
    </comment>
    <comment ref="D24" authorId="0" shapeId="0">
      <text>
        <t>Loan: BMO 25 Trailers. Interest = Opening * AnnualRate/12</t>
      </text>
    </comment>
    <comment ref="E24" authorId="0" shapeId="0">
      <text>
        <t>Loan: BMO 25 Trailers. Principal = Payment - Interest (capped at opening)</t>
      </text>
    </comment>
    <comment ref="F24" authorId="0" shapeId="0">
      <text>
        <t>Loan: BMO 25 Trailers. Closing = Opening - Principal</t>
      </text>
    </comment>
    <comment ref="C25" authorId="0" shapeId="0">
      <text>
        <t>Loan: BMO 25 Trailers, 9326429001. Source: loans.md</t>
      </text>
    </comment>
    <comment ref="D25" authorId="0" shapeId="0">
      <text>
        <t>Loan: BMO 25 Trailers. Interest = Opening * AnnualRate/12</t>
      </text>
    </comment>
    <comment ref="E25" authorId="0" shapeId="0">
      <text>
        <t>Loan: BMO 25 Trailers. Principal = Payment - Interest (capped at opening)</t>
      </text>
    </comment>
    <comment ref="F25" authorId="0" shapeId="0">
      <text>
        <t>Loan: BMO 25 Trailers. Closing = Opening - Principal</t>
      </text>
    </comment>
    <comment ref="C26" authorId="0" shapeId="0">
      <text>
        <t>Loan: BMO 25 Trailers, 9326429001. Source: loans.md</t>
      </text>
    </comment>
    <comment ref="D26" authorId="0" shapeId="0">
      <text>
        <t>Loan: BMO 25 Trailers. Interest = Opening * AnnualRate/12</t>
      </text>
    </comment>
    <comment ref="E26" authorId="0" shapeId="0">
      <text>
        <t>Loan: BMO 25 Trailers. Principal = Payment - Interest (capped at opening)</t>
      </text>
    </comment>
    <comment ref="F26" authorId="0" shapeId="0">
      <text>
        <t>Loan: BMO 25 Trailers. Closing = Opening - Principal</t>
      </text>
    </comment>
    <comment ref="C27" authorId="0" shapeId="0">
      <text>
        <t>Loan: BMO 25 Trailers, 9326429001. Source: loans.md</t>
      </text>
    </comment>
    <comment ref="D27" authorId="0" shapeId="0">
      <text>
        <t>Loan: BMO 25 Trailers. Interest = Opening * AnnualRate/12</t>
      </text>
    </comment>
    <comment ref="E27" authorId="0" shapeId="0">
      <text>
        <t>Loan: BMO 25 Trailers. Principal = Payment - Interest (capped at opening)</t>
      </text>
    </comment>
    <comment ref="F27" authorId="0" shapeId="0">
      <text>
        <t>Loan: BMO 25 Trailers. Closing = Opening - Principal</t>
      </text>
    </comment>
    <comment ref="C28" authorId="0" shapeId="0">
      <text>
        <t>Loan: BMO 25 Trailers, 9326429001. Source: loans.md</t>
      </text>
    </comment>
    <comment ref="D28" authorId="0" shapeId="0">
      <text>
        <t>Loan: BMO 25 Trailers. Interest = Opening * AnnualRate/12</t>
      </text>
    </comment>
    <comment ref="E28" authorId="0" shapeId="0">
      <text>
        <t>Loan: BMO 25 Trailers. Principal = Payment - Interest (capped at opening)</t>
      </text>
    </comment>
    <comment ref="F28" authorId="0" shapeId="0">
      <text>
        <t>Loan: BMO 25 Trailers. Closing = Opening - Principal</t>
      </text>
    </comment>
    <comment ref="C29" authorId="0" shapeId="0">
      <text>
        <t>Loan: BMO 25 Trailers, 9326429001. Source: loans.md</t>
      </text>
    </comment>
    <comment ref="D29" authorId="0" shapeId="0">
      <text>
        <t>Loan: BMO 25 Trailers. Interest = Opening * AnnualRate/12</t>
      </text>
    </comment>
    <comment ref="E29" authorId="0" shapeId="0">
      <text>
        <t>Loan: BMO 25 Trailers. Principal = Payment - Interest (capped at opening)</t>
      </text>
    </comment>
    <comment ref="F29" authorId="0" shapeId="0">
      <text>
        <t>Loan: BMO 25 Trailers. Closing = Opening - Principal</t>
      </text>
    </comment>
    <comment ref="C30" authorId="0" shapeId="0">
      <text>
        <t>Loan: BMO 25 Trailers, 9326429001. Source: loans.md</t>
      </text>
    </comment>
    <comment ref="D30" authorId="0" shapeId="0">
      <text>
        <t>Loan: BMO 25 Trailers. Interest = Opening * AnnualRate/12</t>
      </text>
    </comment>
    <comment ref="E30" authorId="0" shapeId="0">
      <text>
        <t>Loan: BMO 25 Trailers. Principal = Payment - Interest (capped at opening)</t>
      </text>
    </comment>
    <comment ref="F30" authorId="0" shapeId="0">
      <text>
        <t>Loan: BMO 25 Trailers. Closing = Opening - Principal</t>
      </text>
    </comment>
    <comment ref="C31" authorId="0" shapeId="0">
      <text>
        <t>Loan: BMO 25 Trailers, 9326429001. Source: loans.md</t>
      </text>
    </comment>
    <comment ref="D31" authorId="0" shapeId="0">
      <text>
        <t>Loan: BMO 25 Trailers. Interest = Opening * AnnualRate/12</t>
      </text>
    </comment>
    <comment ref="E31" authorId="0" shapeId="0">
      <text>
        <t>Loan: BMO 25 Trailers. Principal = Payment - Interest (capped at opening)</t>
      </text>
    </comment>
    <comment ref="F31" authorId="0" shapeId="0">
      <text>
        <t>Loan: BMO 25 Trailers. Closing = Opening - Principal</t>
      </text>
    </comment>
    <comment ref="C32" authorId="0" shapeId="0">
      <text>
        <t>Loan: BMO 25 Trailers, 9326429001. Source: loans.md</t>
      </text>
    </comment>
    <comment ref="D32" authorId="0" shapeId="0">
      <text>
        <t>Loan: BMO 25 Trailers. Interest = Opening * AnnualRate/12</t>
      </text>
    </comment>
    <comment ref="E32" authorId="0" shapeId="0">
      <text>
        <t>Loan: BMO 25 Trailers. Principal = Payment - Interest (capped at opening)</t>
      </text>
    </comment>
    <comment ref="F32" authorId="0" shapeId="0">
      <text>
        <t>Loan: BMO 25 Trailers. Closing = Opening - Principal</t>
      </text>
    </comment>
    <comment ref="C33" authorId="0" shapeId="0">
      <text>
        <t>Loan: BMO 25 Trailers, 9326429001. Source: loans.md</t>
      </text>
    </comment>
    <comment ref="D33" authorId="0" shapeId="0">
      <text>
        <t>Loan: BMO 25 Trailers. Interest = Opening * AnnualRate/12</t>
      </text>
    </comment>
    <comment ref="E33" authorId="0" shapeId="0">
      <text>
        <t>Loan: BMO 25 Trailers. Principal = Payment - Interest (capped at opening)</t>
      </text>
    </comment>
    <comment ref="F33" authorId="0" shapeId="0">
      <text>
        <t>Loan: BMO 25 Trailers. Closing = Opening - Principal</t>
      </text>
    </comment>
    <comment ref="C34" authorId="0" shapeId="0">
      <text>
        <t>Loan: BMO 25 Trailers, 9326429001. Source: loans.md</t>
      </text>
    </comment>
    <comment ref="D34" authorId="0" shapeId="0">
      <text>
        <t>Loan: BMO 25 Trailers. Interest = Opening * AnnualRate/12</t>
      </text>
    </comment>
    <comment ref="E34" authorId="0" shapeId="0">
      <text>
        <t>Loan: BMO 25 Trailers. Principal = Payment - Interest (capped at opening)</t>
      </text>
    </comment>
    <comment ref="F34" authorId="0" shapeId="0">
      <text>
        <t>Loan: BMO 25 Trailers. Closing = Opening - Principal</t>
      </text>
    </comment>
    <comment ref="C35" authorId="0" shapeId="0">
      <text>
        <t>Loan: BMO 25 Trailers, 9326429001. Source: loans.md</t>
      </text>
    </comment>
    <comment ref="D35" authorId="0" shapeId="0">
      <text>
        <t>Loan: BMO 25 Trailers. Interest = Opening * AnnualRate/12</t>
      </text>
    </comment>
    <comment ref="E35" authorId="0" shapeId="0">
      <text>
        <t>Loan: BMO 25 Trailers. Principal = Payment - Interest (capped at opening)</t>
      </text>
    </comment>
    <comment ref="F35" authorId="0" shapeId="0">
      <text>
        <t>Loan: BMO 25 Trailers. Closing = Opening - Principal</t>
      </text>
    </comment>
    <comment ref="C36" authorId="0" shapeId="0">
      <text>
        <t>Loan: BMO 25 Trailers, 9326429001. Source: loans.md</t>
      </text>
    </comment>
    <comment ref="D36" authorId="0" shapeId="0">
      <text>
        <t>Loan: BMO 25 Trailers. Interest = Opening * AnnualRate/12</t>
      </text>
    </comment>
    <comment ref="E36" authorId="0" shapeId="0">
      <text>
        <t>Loan: BMO 25 Trailers. Principal = Payment - Interest (capped at opening)</t>
      </text>
    </comment>
    <comment ref="F36" authorId="0" shapeId="0">
      <text>
        <t>Loan: BMO 25 Trailers. Closing = Opening - Principal</t>
      </text>
    </comment>
    <comment ref="C37" authorId="0" shapeId="0">
      <text>
        <t>Loan: BMO 25 Trailers, 9326429001. Source: loans.md</t>
      </text>
    </comment>
    <comment ref="D37" authorId="0" shapeId="0">
      <text>
        <t>Loan: BMO 25 Trailers. Interest = Opening * AnnualRate/12</t>
      </text>
    </comment>
    <comment ref="E37" authorId="0" shapeId="0">
      <text>
        <t>Loan: BMO 25 Trailers. Principal = Payment - Interest (capped at opening)</t>
      </text>
    </comment>
    <comment ref="F37" authorId="0" shapeId="0">
      <text>
        <t>Loan: BMO 25 Trailers. Closing = Opening - Principal</t>
      </text>
    </comment>
    <comment ref="C38" authorId="0" shapeId="0">
      <text>
        <t>Loan: BMO 25 Trailers, 9326429001. Source: loans.md</t>
      </text>
    </comment>
    <comment ref="D38" authorId="0" shapeId="0">
      <text>
        <t>Loan: BMO 25 Trailers. Interest = Opening * AnnualRate/12</t>
      </text>
    </comment>
    <comment ref="E38" authorId="0" shapeId="0">
      <text>
        <t>Loan: BMO 25 Trailers. Principal = Payment - Interest (capped at opening)</t>
      </text>
    </comment>
    <comment ref="F38" authorId="0" shapeId="0">
      <text>
        <t>Loan: BMO 25 Trailers. Closing = Opening - Principal</t>
      </text>
    </comment>
    <comment ref="C39" authorId="0" shapeId="0">
      <text>
        <t>Loan: BMO 25 Trailers, 9326429001. Source: loans.md</t>
      </text>
    </comment>
    <comment ref="D39" authorId="0" shapeId="0">
      <text>
        <t>Loan: BMO 25 Trailers. Interest = Opening * AnnualRate/12</t>
      </text>
    </comment>
    <comment ref="E39" authorId="0" shapeId="0">
      <text>
        <t>Loan: BMO 25 Trailers. Principal = Payment - Interest (capped at opening)</t>
      </text>
    </comment>
    <comment ref="F39" authorId="0" shapeId="0">
      <text>
        <t>Loan: BMO 25 Trailers. Closing = Opening - Principal</t>
      </text>
    </comment>
    <comment ref="C40" authorId="0" shapeId="0">
      <text>
        <t>Loan: BMO 25 Trailers, 9326429001. Source: loans.md</t>
      </text>
    </comment>
    <comment ref="D40" authorId="0" shapeId="0">
      <text>
        <t>Loan: BMO 25 Trailers. Interest = Opening * AnnualRate/12</t>
      </text>
    </comment>
    <comment ref="E40" authorId="0" shapeId="0">
      <text>
        <t>Loan: BMO 25 Trailers. Principal = Payment - Interest (capped at opening)</t>
      </text>
    </comment>
    <comment ref="F40" authorId="0" shapeId="0">
      <text>
        <t>Loan: BMO 25 Trailers. Closing = Opening - Principal</t>
      </text>
    </comment>
    <comment ref="C41" authorId="0" shapeId="0">
      <text>
        <t>Loan: BMO 25 Trailers, 9326429001. Source: loans.md</t>
      </text>
    </comment>
    <comment ref="D41" authorId="0" shapeId="0">
      <text>
        <t>Loan: BMO 25 Trailers. Interest = Opening * AnnualRate/12</t>
      </text>
    </comment>
    <comment ref="E41" authorId="0" shapeId="0">
      <text>
        <t>Loan: BMO 25 Trailers. Principal = Payment - Interest (capped at opening)</t>
      </text>
    </comment>
    <comment ref="F41" authorId="0" shapeId="0">
      <text>
        <t>Loan: BMO 25 Trailers. Closing = Opening - Principal</t>
      </text>
    </comment>
    <comment ref="C42" authorId="0" shapeId="0">
      <text>
        <t>Loan: BMO 25 Trailers, 9326429001. Source: loans.md</t>
      </text>
    </comment>
    <comment ref="D42" authorId="0" shapeId="0">
      <text>
        <t>Loan: BMO 25 Trailers. Interest = Opening * AnnualRate/12</t>
      </text>
    </comment>
    <comment ref="E42" authorId="0" shapeId="0">
      <text>
        <t>Loan: BMO 25 Trailers. Principal = Payment - Interest (capped at opening)</t>
      </text>
    </comment>
    <comment ref="F42" authorId="0" shapeId="0">
      <text>
        <t>Loan: BMO 25 Trailers. Closing = Opening - Principal</t>
      </text>
    </comment>
    <comment ref="C43" authorId="0" shapeId="0">
      <text>
        <t>Loan: BMO 25 Trailers, 9326429001. Source: loans.md</t>
      </text>
    </comment>
    <comment ref="D43" authorId="0" shapeId="0">
      <text>
        <t>Loan: BMO 25 Trailers. Interest = Opening * AnnualRate/12</t>
      </text>
    </comment>
    <comment ref="E43" authorId="0" shapeId="0">
      <text>
        <t>Loan: BMO 25 Trailers. Principal = Payment - Interest (capped at opening)</t>
      </text>
    </comment>
    <comment ref="F43" authorId="0" shapeId="0">
      <text>
        <t>Loan: BMO 25 Trailers. Closing = Opening - Principal</t>
      </text>
    </comment>
    <comment ref="C47" authorId="0" shapeId="0">
      <text>
        <t>Sum of rows 23: Opening balance for 2026</t>
      </text>
    </comment>
    <comment ref="D47" authorId="0" shapeId="0">
      <text>
        <t>Sum of rows 23-34: Total interest for 2026</t>
      </text>
    </comment>
    <comment ref="E47" authorId="0" shapeId="0">
      <text>
        <t>Sum of rows 23-34: Total principal for 2026</t>
      </text>
    </comment>
    <comment ref="F47" authorId="0" shapeId="0">
      <text>
        <t>Row 34: Ending balance for 2026</t>
      </text>
    </comment>
    <comment ref="C48" authorId="0" shapeId="0">
      <text>
        <t>Sum of rows 35: Opening balance for 2027</t>
      </text>
    </comment>
    <comment ref="D48" authorId="0" shapeId="0">
      <text>
        <t>Sum of rows 35-43: Total interest for 2027</t>
      </text>
    </comment>
    <comment ref="E48" authorId="0" shapeId="0">
      <text>
        <t>Sum of rows 35-43: Total principal for 2027</t>
      </text>
    </comment>
    <comment ref="F48" authorId="0" shapeId="0">
      <text>
        <t>Row 43: Ending balance for 2027</t>
      </text>
    </comment>
  </commentList>
</comments>
</file>

<file path=xl/comments/comment58.xml><?xml version="1.0" encoding="utf-8"?>
<comments xmlns="http://schemas.openxmlformats.org/spreadsheetml/2006/main">
  <authors>
    <author>Model Builder</author>
  </authors>
  <commentList>
    <comment ref="B6" authorId="0" shapeId="0">
      <text>
        <t>Source: loans.md - BMO Loan 9359467001
Balance as of 12/31/2025</t>
      </text>
    </comment>
    <comment ref="B7" authorId="0" shapeId="0">
      <text>
        <t>Source: loans.md - BMO Loan 9359467001
Fixed rate per loan agreement</t>
      </text>
    </comment>
    <comment ref="B8" authorId="0" shapeId="0">
      <text>
        <t>Source: loans.md - BMO Loan 9359467001
Fixed monthly payment</t>
      </text>
    </comment>
    <comment ref="C23" authorId="0" shapeId="0">
      <text>
        <t>Loan: BMO 2 T680 Sleepers, 9359467001. Source: loans.md</t>
      </text>
    </comment>
    <comment ref="D23" authorId="0" shapeId="0">
      <text>
        <t>Loan: BMO 2 T680 Sleepers. Interest = Opening * AnnualRate/12</t>
      </text>
    </comment>
    <comment ref="E23" authorId="0" shapeId="0">
      <text>
        <t>Loan: BMO 2 T680 Sleepers. Principal = Payment - Interest (capped at opening)</t>
      </text>
    </comment>
    <comment ref="F23" authorId="0" shapeId="0">
      <text>
        <t>Loan: BMO 2 T680 Sleepers. Closing = Opening - Principal</t>
      </text>
    </comment>
    <comment ref="C24" authorId="0" shapeId="0">
      <text>
        <t>Loan: BMO 2 T680 Sleepers, 9359467001. Source: loans.md</t>
      </text>
    </comment>
    <comment ref="D24" authorId="0" shapeId="0">
      <text>
        <t>Loan: BMO 2 T680 Sleepers. Interest = Opening * AnnualRate/12</t>
      </text>
    </comment>
    <comment ref="E24" authorId="0" shapeId="0">
      <text>
        <t>Loan: BMO 2 T680 Sleepers. Principal = Payment - Interest (capped at opening)</t>
      </text>
    </comment>
    <comment ref="F24" authorId="0" shapeId="0">
      <text>
        <t>Loan: BMO 2 T680 Sleepers. Closing = Opening - Principal</t>
      </text>
    </comment>
    <comment ref="C25" authorId="0" shapeId="0">
      <text>
        <t>Loan: BMO 2 T680 Sleepers, 9359467001. Source: loans.md</t>
      </text>
    </comment>
    <comment ref="D25" authorId="0" shapeId="0">
      <text>
        <t>Loan: BMO 2 T680 Sleepers. Interest = Opening * AnnualRate/12</t>
      </text>
    </comment>
    <comment ref="E25" authorId="0" shapeId="0">
      <text>
        <t>Loan: BMO 2 T680 Sleepers. Principal = Payment - Interest (capped at opening)</t>
      </text>
    </comment>
    <comment ref="F25" authorId="0" shapeId="0">
      <text>
        <t>Loan: BMO 2 T680 Sleepers. Closing = Opening - Principal</t>
      </text>
    </comment>
    <comment ref="C26" authorId="0" shapeId="0">
      <text>
        <t>Loan: BMO 2 T680 Sleepers, 9359467001. Source: loans.md</t>
      </text>
    </comment>
    <comment ref="D26" authorId="0" shapeId="0">
      <text>
        <t>Loan: BMO 2 T680 Sleepers. Interest = Opening * AnnualRate/12</t>
      </text>
    </comment>
    <comment ref="E26" authorId="0" shapeId="0">
      <text>
        <t>Loan: BMO 2 T680 Sleepers. Principal = Payment - Interest (capped at opening)</t>
      </text>
    </comment>
    <comment ref="F26" authorId="0" shapeId="0">
      <text>
        <t>Loan: BMO 2 T680 Sleepers. Closing = Opening - Principal</t>
      </text>
    </comment>
    <comment ref="C27" authorId="0" shapeId="0">
      <text>
        <t>Loan: BMO 2 T680 Sleepers, 9359467001. Source: loans.md</t>
      </text>
    </comment>
    <comment ref="D27" authorId="0" shapeId="0">
      <text>
        <t>Loan: BMO 2 T680 Sleepers. Interest = Opening * AnnualRate/12</t>
      </text>
    </comment>
    <comment ref="E27" authorId="0" shapeId="0">
      <text>
        <t>Loan: BMO 2 T680 Sleepers. Principal = Payment - Interest (capped at opening)</t>
      </text>
    </comment>
    <comment ref="F27" authorId="0" shapeId="0">
      <text>
        <t>Loan: BMO 2 T680 Sleepers. Closing = Opening - Principal</t>
      </text>
    </comment>
    <comment ref="C28" authorId="0" shapeId="0">
      <text>
        <t>Loan: BMO 2 T680 Sleepers, 9359467001. Source: loans.md</t>
      </text>
    </comment>
    <comment ref="D28" authorId="0" shapeId="0">
      <text>
        <t>Loan: BMO 2 T680 Sleepers. Interest = Opening * AnnualRate/12</t>
      </text>
    </comment>
    <comment ref="E28" authorId="0" shapeId="0">
      <text>
        <t>Loan: BMO 2 T680 Sleepers. Principal = Payment - Interest (capped at opening)</t>
      </text>
    </comment>
    <comment ref="F28" authorId="0" shapeId="0">
      <text>
        <t>Loan: BMO 2 T680 Sleepers. Closing = Opening - Principal</t>
      </text>
    </comment>
    <comment ref="C29" authorId="0" shapeId="0">
      <text>
        <t>Loan: BMO 2 T680 Sleepers, 9359467001. Source: loans.md</t>
      </text>
    </comment>
    <comment ref="D29" authorId="0" shapeId="0">
      <text>
        <t>Loan: BMO 2 T680 Sleepers. Interest = Opening * AnnualRate/12</t>
      </text>
    </comment>
    <comment ref="E29" authorId="0" shapeId="0">
      <text>
        <t>Loan: BMO 2 T680 Sleepers. Principal = Payment - Interest (capped at opening)</t>
      </text>
    </comment>
    <comment ref="F29" authorId="0" shapeId="0">
      <text>
        <t>Loan: BMO 2 T680 Sleepers. Closing = Opening - Principal</t>
      </text>
    </comment>
    <comment ref="C30" authorId="0" shapeId="0">
      <text>
        <t>Loan: BMO 2 T680 Sleepers, 9359467001. Source: loans.md</t>
      </text>
    </comment>
    <comment ref="D30" authorId="0" shapeId="0">
      <text>
        <t>Loan: BMO 2 T680 Sleepers. Interest = Opening * AnnualRate/12</t>
      </text>
    </comment>
    <comment ref="E30" authorId="0" shapeId="0">
      <text>
        <t>Loan: BMO 2 T680 Sleepers. Principal = Payment - Interest (capped at opening)</t>
      </text>
    </comment>
    <comment ref="F30" authorId="0" shapeId="0">
      <text>
        <t>Loan: BMO 2 T680 Sleepers. Closing = Opening - Principal</t>
      </text>
    </comment>
    <comment ref="C31" authorId="0" shapeId="0">
      <text>
        <t>Loan: BMO 2 T680 Sleepers, 9359467001. Source: loans.md</t>
      </text>
    </comment>
    <comment ref="D31" authorId="0" shapeId="0">
      <text>
        <t>Loan: BMO 2 T680 Sleepers. Interest = Opening * AnnualRate/12</t>
      </text>
    </comment>
    <comment ref="E31" authorId="0" shapeId="0">
      <text>
        <t>Loan: BMO 2 T680 Sleepers. Principal = Payment - Interest (capped at opening)</t>
      </text>
    </comment>
    <comment ref="F31" authorId="0" shapeId="0">
      <text>
        <t>Loan: BMO 2 T680 Sleepers. Closing = Opening - Principal</t>
      </text>
    </comment>
    <comment ref="C32" authorId="0" shapeId="0">
      <text>
        <t>Loan: BMO 2 T680 Sleepers, 9359467001. Source: loans.md</t>
      </text>
    </comment>
    <comment ref="D32" authorId="0" shapeId="0">
      <text>
        <t>Loan: BMO 2 T680 Sleepers. Interest = Opening * AnnualRate/12</t>
      </text>
    </comment>
    <comment ref="E32" authorId="0" shapeId="0">
      <text>
        <t>Loan: BMO 2 T680 Sleepers. Principal = Payment - Interest (capped at opening)</t>
      </text>
    </comment>
    <comment ref="F32" authorId="0" shapeId="0">
      <text>
        <t>Loan: BMO 2 T680 Sleepers. Closing = Opening - Principal</t>
      </text>
    </comment>
    <comment ref="C33" authorId="0" shapeId="0">
      <text>
        <t>Loan: BMO 2 T680 Sleepers, 9359467001. Source: loans.md</t>
      </text>
    </comment>
    <comment ref="D33" authorId="0" shapeId="0">
      <text>
        <t>Loan: BMO 2 T680 Sleepers. Interest = Opening * AnnualRate/12</t>
      </text>
    </comment>
    <comment ref="E33" authorId="0" shapeId="0">
      <text>
        <t>Loan: BMO 2 T680 Sleepers. Principal = Payment - Interest (capped at opening)</t>
      </text>
    </comment>
    <comment ref="F33" authorId="0" shapeId="0">
      <text>
        <t>Loan: BMO 2 T680 Sleepers. Closing = Opening - Principal</t>
      </text>
    </comment>
    <comment ref="C34" authorId="0" shapeId="0">
      <text>
        <t>Loan: BMO 2 T680 Sleepers, 9359467001. Source: loans.md</t>
      </text>
    </comment>
    <comment ref="D34" authorId="0" shapeId="0">
      <text>
        <t>Loan: BMO 2 T680 Sleepers. Interest = Opening * AnnualRate/12</t>
      </text>
    </comment>
    <comment ref="E34" authorId="0" shapeId="0">
      <text>
        <t>Loan: BMO 2 T680 Sleepers. Principal = Payment - Interest (capped at opening)</t>
      </text>
    </comment>
    <comment ref="F34" authorId="0" shapeId="0">
      <text>
        <t>Loan: BMO 2 T680 Sleepers. Closing = Opening - Principal</t>
      </text>
    </comment>
    <comment ref="C35" authorId="0" shapeId="0">
      <text>
        <t>Loan: BMO 2 T680 Sleepers, 9359467001. Source: loans.md</t>
      </text>
    </comment>
    <comment ref="D35" authorId="0" shapeId="0">
      <text>
        <t>Loan: BMO 2 T680 Sleepers. Interest = Opening * AnnualRate/12</t>
      </text>
    </comment>
    <comment ref="E35" authorId="0" shapeId="0">
      <text>
        <t>Loan: BMO 2 T680 Sleepers. Principal = Payment - Interest (capped at opening)</t>
      </text>
    </comment>
    <comment ref="F35" authorId="0" shapeId="0">
      <text>
        <t>Loan: BMO 2 T680 Sleepers. Closing = Opening - Principal</t>
      </text>
    </comment>
    <comment ref="C36" authorId="0" shapeId="0">
      <text>
        <t>Loan: BMO 2 T680 Sleepers, 9359467001. Source: loans.md</t>
      </text>
    </comment>
    <comment ref="D36" authorId="0" shapeId="0">
      <text>
        <t>Loan: BMO 2 T680 Sleepers. Interest = Opening * AnnualRate/12</t>
      </text>
    </comment>
    <comment ref="E36" authorId="0" shapeId="0">
      <text>
        <t>Loan: BMO 2 T680 Sleepers. Principal = Payment - Interest (capped at opening)</t>
      </text>
    </comment>
    <comment ref="F36" authorId="0" shapeId="0">
      <text>
        <t>Loan: BMO 2 T680 Sleepers. Closing = Opening - Principal</t>
      </text>
    </comment>
    <comment ref="C37" authorId="0" shapeId="0">
      <text>
        <t>Loan: BMO 2 T680 Sleepers, 9359467001. Source: loans.md</t>
      </text>
    </comment>
    <comment ref="D37" authorId="0" shapeId="0">
      <text>
        <t>Loan: BMO 2 T680 Sleepers. Interest = Opening * AnnualRate/12</t>
      </text>
    </comment>
    <comment ref="E37" authorId="0" shapeId="0">
      <text>
        <t>Loan: BMO 2 T680 Sleepers. Principal = Payment - Interest (capped at opening)</t>
      </text>
    </comment>
    <comment ref="F37" authorId="0" shapeId="0">
      <text>
        <t>Loan: BMO 2 T680 Sleepers. Closing = Opening - Principal</t>
      </text>
    </comment>
    <comment ref="C38" authorId="0" shapeId="0">
      <text>
        <t>Loan: BMO 2 T680 Sleepers, 9359467001. Source: loans.md</t>
      </text>
    </comment>
    <comment ref="D38" authorId="0" shapeId="0">
      <text>
        <t>Loan: BMO 2 T680 Sleepers. Interest = Opening * AnnualRate/12</t>
      </text>
    </comment>
    <comment ref="E38" authorId="0" shapeId="0">
      <text>
        <t>Loan: BMO 2 T680 Sleepers. Principal = Payment - Interest (capped at opening)</t>
      </text>
    </comment>
    <comment ref="F38" authorId="0" shapeId="0">
      <text>
        <t>Loan: BMO 2 T680 Sleepers. Closing = Opening - Principal</t>
      </text>
    </comment>
    <comment ref="C39" authorId="0" shapeId="0">
      <text>
        <t>Loan: BMO 2 T680 Sleepers, 9359467001. Source: loans.md</t>
      </text>
    </comment>
    <comment ref="D39" authorId="0" shapeId="0">
      <text>
        <t>Loan: BMO 2 T680 Sleepers. Interest = Opening * AnnualRate/12</t>
      </text>
    </comment>
    <comment ref="E39" authorId="0" shapeId="0">
      <text>
        <t>Loan: BMO 2 T680 Sleepers. Principal = Payment - Interest (capped at opening)</t>
      </text>
    </comment>
    <comment ref="F39" authorId="0" shapeId="0">
      <text>
        <t>Loan: BMO 2 T680 Sleepers. Closing = Opening - Principal</t>
      </text>
    </comment>
    <comment ref="C40" authorId="0" shapeId="0">
      <text>
        <t>Loan: BMO 2 T680 Sleepers, 9359467001. Source: loans.md</t>
      </text>
    </comment>
    <comment ref="D40" authorId="0" shapeId="0">
      <text>
        <t>Loan: BMO 2 T680 Sleepers. Interest = Opening * AnnualRate/12</t>
      </text>
    </comment>
    <comment ref="E40" authorId="0" shapeId="0">
      <text>
        <t>Loan: BMO 2 T680 Sleepers. Principal = Payment - Interest (capped at opening)</t>
      </text>
    </comment>
    <comment ref="F40" authorId="0" shapeId="0">
      <text>
        <t>Loan: BMO 2 T680 Sleepers. Closing = Opening - Principal</t>
      </text>
    </comment>
    <comment ref="C41" authorId="0" shapeId="0">
      <text>
        <t>Loan: BMO 2 T680 Sleepers, 9359467001. Source: loans.md</t>
      </text>
    </comment>
    <comment ref="D41" authorId="0" shapeId="0">
      <text>
        <t>Loan: BMO 2 T680 Sleepers. Interest = Opening * AnnualRate/12</t>
      </text>
    </comment>
    <comment ref="E41" authorId="0" shapeId="0">
      <text>
        <t>Loan: BMO 2 T680 Sleepers. Principal = Payment - Interest (capped at opening)</t>
      </text>
    </comment>
    <comment ref="F41" authorId="0" shapeId="0">
      <text>
        <t>Loan: BMO 2 T680 Sleepers. Closing = Opening - Principal</t>
      </text>
    </comment>
    <comment ref="C42" authorId="0" shapeId="0">
      <text>
        <t>Loan: BMO 2 T680 Sleepers, 9359467001. Source: loans.md</t>
      </text>
    </comment>
    <comment ref="D42" authorId="0" shapeId="0">
      <text>
        <t>Loan: BMO 2 T680 Sleepers. Interest = Opening * AnnualRate/12</t>
      </text>
    </comment>
    <comment ref="E42" authorId="0" shapeId="0">
      <text>
        <t>Loan: BMO 2 T680 Sleepers. Principal = Payment - Interest (capped at opening)</t>
      </text>
    </comment>
    <comment ref="F42" authorId="0" shapeId="0">
      <text>
        <t>Loan: BMO 2 T680 Sleepers. Closing = Opening - Principal</t>
      </text>
    </comment>
    <comment ref="C43" authorId="0" shapeId="0">
      <text>
        <t>Loan: BMO 2 T680 Sleepers, 9359467001. Source: loans.md</t>
      </text>
    </comment>
    <comment ref="D43" authorId="0" shapeId="0">
      <text>
        <t>Loan: BMO 2 T680 Sleepers. Interest = Opening * AnnualRate/12</t>
      </text>
    </comment>
    <comment ref="E43" authorId="0" shapeId="0">
      <text>
        <t>Loan: BMO 2 T680 Sleepers. Principal = Payment - Interest (capped at opening)</t>
      </text>
    </comment>
    <comment ref="F43" authorId="0" shapeId="0">
      <text>
        <t>Loan: BMO 2 T680 Sleepers. Closing = Opening - Principal</t>
      </text>
    </comment>
    <comment ref="C44" authorId="0" shapeId="0">
      <text>
        <t>Loan: BMO 2 T680 Sleepers, 9359467001. Source: loans.md</t>
      </text>
    </comment>
    <comment ref="D44" authorId="0" shapeId="0">
      <text>
        <t>Loan: BMO 2 T680 Sleepers. Interest = Opening * AnnualRate/12</t>
      </text>
    </comment>
    <comment ref="E44" authorId="0" shapeId="0">
      <text>
        <t>Loan: BMO 2 T680 Sleepers. Principal = Payment - Interest (capped at opening)</t>
      </text>
    </comment>
    <comment ref="F44" authorId="0" shapeId="0">
      <text>
        <t>Loan: BMO 2 T680 Sleepers. Closing = Opening - Principal</t>
      </text>
    </comment>
    <comment ref="C45" authorId="0" shapeId="0">
      <text>
        <t>Loan: BMO 2 T680 Sleepers, 9359467001. Source: loans.md</t>
      </text>
    </comment>
    <comment ref="D45" authorId="0" shapeId="0">
      <text>
        <t>Loan: BMO 2 T680 Sleepers. Interest = Opening * AnnualRate/12</t>
      </text>
    </comment>
    <comment ref="E45" authorId="0" shapeId="0">
      <text>
        <t>Loan: BMO 2 T680 Sleepers. Principal = Payment - Interest (capped at opening)</t>
      </text>
    </comment>
    <comment ref="F45" authorId="0" shapeId="0">
      <text>
        <t>Loan: BMO 2 T680 Sleepers. Closing = Opening - Principal</t>
      </text>
    </comment>
    <comment ref="C46" authorId="0" shapeId="0">
      <text>
        <t>Loan: BMO 2 T680 Sleepers, 9359467001. Source: loans.md</t>
      </text>
    </comment>
    <comment ref="D46" authorId="0" shapeId="0">
      <text>
        <t>Loan: BMO 2 T680 Sleepers. Interest = Opening * AnnualRate/12</t>
      </text>
    </comment>
    <comment ref="E46" authorId="0" shapeId="0">
      <text>
        <t>Loan: BMO 2 T680 Sleepers. Principal = Payment - Interest (capped at opening)</t>
      </text>
    </comment>
    <comment ref="F46" authorId="0" shapeId="0">
      <text>
        <t>Loan: BMO 2 T680 Sleepers. Closing = Opening - Principal</t>
      </text>
    </comment>
    <comment ref="C47" authorId="0" shapeId="0">
      <text>
        <t>Loan: BMO 2 T680 Sleepers, 9359467001. Source: loans.md</t>
      </text>
    </comment>
    <comment ref="D47" authorId="0" shapeId="0">
      <text>
        <t>Loan: BMO 2 T680 Sleepers. Interest = Opening * AnnualRate/12</t>
      </text>
    </comment>
    <comment ref="E47" authorId="0" shapeId="0">
      <text>
        <t>Loan: BMO 2 T680 Sleepers. Principal = Payment - Interest (capped at opening)</t>
      </text>
    </comment>
    <comment ref="F47" authorId="0" shapeId="0">
      <text>
        <t>Loan: BMO 2 T680 Sleepers. Closing = Opening - Principal</t>
      </text>
    </comment>
    <comment ref="C48" authorId="0" shapeId="0">
      <text>
        <t>Loan: BMO 2 T680 Sleepers, 9359467001. Source: loans.md</t>
      </text>
    </comment>
    <comment ref="D48" authorId="0" shapeId="0">
      <text>
        <t>Loan: BMO 2 T680 Sleepers. Interest = Opening * AnnualRate/12</t>
      </text>
    </comment>
    <comment ref="E48" authorId="0" shapeId="0">
      <text>
        <t>Loan: BMO 2 T680 Sleepers. Principal = Payment - Interest (capped at opening)</t>
      </text>
    </comment>
    <comment ref="F48" authorId="0" shapeId="0">
      <text>
        <t>Loan: BMO 2 T680 Sleepers. Closing = Opening - Principal</t>
      </text>
    </comment>
    <comment ref="C52" authorId="0" shapeId="0">
      <text>
        <t>Sum of rows 23: Opening balance for 2026</t>
      </text>
    </comment>
    <comment ref="D52" authorId="0" shapeId="0">
      <text>
        <t>Sum of rows 23-34: Total interest for 2026</t>
      </text>
    </comment>
    <comment ref="E52" authorId="0" shapeId="0">
      <text>
        <t>Sum of rows 23-34: Total principal for 2026</t>
      </text>
    </comment>
    <comment ref="F52" authorId="0" shapeId="0">
      <text>
        <t>Row 34: Ending balance for 2026</t>
      </text>
    </comment>
    <comment ref="C53" authorId="0" shapeId="0">
      <text>
        <t>Sum of rows 35: Opening balance for 2027</t>
      </text>
    </comment>
    <comment ref="D53" authorId="0" shapeId="0">
      <text>
        <t>Sum of rows 35-46: Total interest for 2027</t>
      </text>
    </comment>
    <comment ref="E53" authorId="0" shapeId="0">
      <text>
        <t>Sum of rows 35-46: Total principal for 2027</t>
      </text>
    </comment>
    <comment ref="F53" authorId="0" shapeId="0">
      <text>
        <t>Row 46: Ending balance for 2027</t>
      </text>
    </comment>
    <comment ref="C54" authorId="0" shapeId="0">
      <text>
        <t>Sum of rows 47: Opening balance for 2028</t>
      </text>
    </comment>
    <comment ref="D54" authorId="0" shapeId="0">
      <text>
        <t>Sum of rows 47-48: Total interest for 2028</t>
      </text>
    </comment>
    <comment ref="E54" authorId="0" shapeId="0">
      <text>
        <t>Sum of rows 47-48: Total principal for 2028</t>
      </text>
    </comment>
    <comment ref="F54" authorId="0" shapeId="0">
      <text>
        <t>Row 48: Ending balance for 2028</t>
      </text>
    </comment>
  </commentList>
</comments>
</file>

<file path=xl/comments/comment59.xml><?xml version="1.0" encoding="utf-8"?>
<comments xmlns="http://schemas.openxmlformats.org/spreadsheetml/2006/main">
  <authors>
    <author>Model Builder</author>
  </authors>
  <commentList>
    <comment ref="B6" authorId="0" shapeId="0">
      <text>
        <t>Source: loans.md - BMO Loan 9359467001
Balance as of 12/31/2025</t>
      </text>
    </comment>
    <comment ref="B7" authorId="0" shapeId="0">
      <text>
        <t>Source: loans.md - BMO Loan 9359467001
Fixed rate per loan agreement</t>
      </text>
    </comment>
    <comment ref="B8" authorId="0" shapeId="0">
      <text>
        <t>Source: loans.md - BMO Loan 9359467001
Fixed monthly payment</t>
      </text>
    </comment>
    <comment ref="C23" authorId="0" shapeId="0">
      <text>
        <t>Loan: BMO 5 T680 Sleepers, 9359467001. Source: loans.md</t>
      </text>
    </comment>
    <comment ref="D23" authorId="0" shapeId="0">
      <text>
        <t>Loan: BMO 5 T680 Sleepers. Interest = Opening * AnnualRate/12</t>
      </text>
    </comment>
    <comment ref="E23" authorId="0" shapeId="0">
      <text>
        <t>Loan: BMO 5 T680 Sleepers. Principal = Payment - Interest (capped at opening)</t>
      </text>
    </comment>
    <comment ref="F23" authorId="0" shapeId="0">
      <text>
        <t>Loan: BMO 5 T680 Sleepers. Closing = Opening - Principal</t>
      </text>
    </comment>
    <comment ref="C24" authorId="0" shapeId="0">
      <text>
        <t>Loan: BMO 5 T680 Sleepers, 9359467001. Source: loans.md</t>
      </text>
    </comment>
    <comment ref="D24" authorId="0" shapeId="0">
      <text>
        <t>Loan: BMO 5 T680 Sleepers. Interest = Opening * AnnualRate/12</t>
      </text>
    </comment>
    <comment ref="E24" authorId="0" shapeId="0">
      <text>
        <t>Loan: BMO 5 T680 Sleepers. Principal = Payment - Interest (capped at opening)</t>
      </text>
    </comment>
    <comment ref="F24" authorId="0" shapeId="0">
      <text>
        <t>Loan: BMO 5 T680 Sleepers. Closing = Opening - Principal</t>
      </text>
    </comment>
    <comment ref="C25" authorId="0" shapeId="0">
      <text>
        <t>Loan: BMO 5 T680 Sleepers, 9359467001. Source: loans.md</t>
      </text>
    </comment>
    <comment ref="D25" authorId="0" shapeId="0">
      <text>
        <t>Loan: BMO 5 T680 Sleepers. Interest = Opening * AnnualRate/12</t>
      </text>
    </comment>
    <comment ref="E25" authorId="0" shapeId="0">
      <text>
        <t>Loan: BMO 5 T680 Sleepers. Principal = Payment - Interest (capped at opening)</t>
      </text>
    </comment>
    <comment ref="F25" authorId="0" shapeId="0">
      <text>
        <t>Loan: BMO 5 T680 Sleepers. Closing = Opening - Principal</t>
      </text>
    </comment>
    <comment ref="C26" authorId="0" shapeId="0">
      <text>
        <t>Loan: BMO 5 T680 Sleepers, 9359467001. Source: loans.md</t>
      </text>
    </comment>
    <comment ref="D26" authorId="0" shapeId="0">
      <text>
        <t>Loan: BMO 5 T680 Sleepers. Interest = Opening * AnnualRate/12</t>
      </text>
    </comment>
    <comment ref="E26" authorId="0" shapeId="0">
      <text>
        <t>Loan: BMO 5 T680 Sleepers. Principal = Payment - Interest (capped at opening)</t>
      </text>
    </comment>
    <comment ref="F26" authorId="0" shapeId="0">
      <text>
        <t>Loan: BMO 5 T680 Sleepers. Closing = Opening - Principal</t>
      </text>
    </comment>
    <comment ref="C27" authorId="0" shapeId="0">
      <text>
        <t>Loan: BMO 5 T680 Sleepers, 9359467001. Source: loans.md</t>
      </text>
    </comment>
    <comment ref="D27" authorId="0" shapeId="0">
      <text>
        <t>Loan: BMO 5 T680 Sleepers. Interest = Opening * AnnualRate/12</t>
      </text>
    </comment>
    <comment ref="E27" authorId="0" shapeId="0">
      <text>
        <t>Loan: BMO 5 T680 Sleepers. Principal = Payment - Interest (capped at opening)</t>
      </text>
    </comment>
    <comment ref="F27" authorId="0" shapeId="0">
      <text>
        <t>Loan: BMO 5 T680 Sleepers. Closing = Opening - Principal</t>
      </text>
    </comment>
    <comment ref="C28" authorId="0" shapeId="0">
      <text>
        <t>Loan: BMO 5 T680 Sleepers, 9359467001. Source: loans.md</t>
      </text>
    </comment>
    <comment ref="D28" authorId="0" shapeId="0">
      <text>
        <t>Loan: BMO 5 T680 Sleepers. Interest = Opening * AnnualRate/12</t>
      </text>
    </comment>
    <comment ref="E28" authorId="0" shapeId="0">
      <text>
        <t>Loan: BMO 5 T680 Sleepers. Principal = Payment - Interest (capped at opening)</t>
      </text>
    </comment>
    <comment ref="F28" authorId="0" shapeId="0">
      <text>
        <t>Loan: BMO 5 T680 Sleepers. Closing = Opening - Principal</t>
      </text>
    </comment>
    <comment ref="C29" authorId="0" shapeId="0">
      <text>
        <t>Loan: BMO 5 T680 Sleepers, 9359467001. Source: loans.md</t>
      </text>
    </comment>
    <comment ref="D29" authorId="0" shapeId="0">
      <text>
        <t>Loan: BMO 5 T680 Sleepers. Interest = Opening * AnnualRate/12</t>
      </text>
    </comment>
    <comment ref="E29" authorId="0" shapeId="0">
      <text>
        <t>Loan: BMO 5 T680 Sleepers. Principal = Payment - Interest (capped at opening)</t>
      </text>
    </comment>
    <comment ref="F29" authorId="0" shapeId="0">
      <text>
        <t>Loan: BMO 5 T680 Sleepers. Closing = Opening - Principal</t>
      </text>
    </comment>
    <comment ref="C30" authorId="0" shapeId="0">
      <text>
        <t>Loan: BMO 5 T680 Sleepers, 9359467001. Source: loans.md</t>
      </text>
    </comment>
    <comment ref="D30" authorId="0" shapeId="0">
      <text>
        <t>Loan: BMO 5 T680 Sleepers. Interest = Opening * AnnualRate/12</t>
      </text>
    </comment>
    <comment ref="E30" authorId="0" shapeId="0">
      <text>
        <t>Loan: BMO 5 T680 Sleepers. Principal = Payment - Interest (capped at opening)</t>
      </text>
    </comment>
    <comment ref="F30" authorId="0" shapeId="0">
      <text>
        <t>Loan: BMO 5 T680 Sleepers. Closing = Opening - Principal</t>
      </text>
    </comment>
    <comment ref="C31" authorId="0" shapeId="0">
      <text>
        <t>Loan: BMO 5 T680 Sleepers, 9359467001. Source: loans.md</t>
      </text>
    </comment>
    <comment ref="D31" authorId="0" shapeId="0">
      <text>
        <t>Loan: BMO 5 T680 Sleepers. Interest = Opening * AnnualRate/12</t>
      </text>
    </comment>
    <comment ref="E31" authorId="0" shapeId="0">
      <text>
        <t>Loan: BMO 5 T680 Sleepers. Principal = Payment - Interest (capped at opening)</t>
      </text>
    </comment>
    <comment ref="F31" authorId="0" shapeId="0">
      <text>
        <t>Loan: BMO 5 T680 Sleepers. Closing = Opening - Principal</t>
      </text>
    </comment>
    <comment ref="C32" authorId="0" shapeId="0">
      <text>
        <t>Loan: BMO 5 T680 Sleepers, 9359467001. Source: loans.md</t>
      </text>
    </comment>
    <comment ref="D32" authorId="0" shapeId="0">
      <text>
        <t>Loan: BMO 5 T680 Sleepers. Interest = Opening * AnnualRate/12</t>
      </text>
    </comment>
    <comment ref="E32" authorId="0" shapeId="0">
      <text>
        <t>Loan: BMO 5 T680 Sleepers. Principal = Payment - Interest (capped at opening)</t>
      </text>
    </comment>
    <comment ref="F32" authorId="0" shapeId="0">
      <text>
        <t>Loan: BMO 5 T680 Sleepers. Closing = Opening - Principal</t>
      </text>
    </comment>
    <comment ref="C33" authorId="0" shapeId="0">
      <text>
        <t>Loan: BMO 5 T680 Sleepers, 9359467001. Source: loans.md</t>
      </text>
    </comment>
    <comment ref="D33" authorId="0" shapeId="0">
      <text>
        <t>Loan: BMO 5 T680 Sleepers. Interest = Opening * AnnualRate/12</t>
      </text>
    </comment>
    <comment ref="E33" authorId="0" shapeId="0">
      <text>
        <t>Loan: BMO 5 T680 Sleepers. Principal = Payment - Interest (capped at opening)</t>
      </text>
    </comment>
    <comment ref="F33" authorId="0" shapeId="0">
      <text>
        <t>Loan: BMO 5 T680 Sleepers. Closing = Opening - Principal</t>
      </text>
    </comment>
    <comment ref="C34" authorId="0" shapeId="0">
      <text>
        <t>Loan: BMO 5 T680 Sleepers, 9359467001. Source: loans.md</t>
      </text>
    </comment>
    <comment ref="D34" authorId="0" shapeId="0">
      <text>
        <t>Loan: BMO 5 T680 Sleepers. Interest = Opening * AnnualRate/12</t>
      </text>
    </comment>
    <comment ref="E34" authorId="0" shapeId="0">
      <text>
        <t>Loan: BMO 5 T680 Sleepers. Principal = Payment - Interest (capped at opening)</t>
      </text>
    </comment>
    <comment ref="F34" authorId="0" shapeId="0">
      <text>
        <t>Loan: BMO 5 T680 Sleepers. Closing = Opening - Principal</t>
      </text>
    </comment>
    <comment ref="C35" authorId="0" shapeId="0">
      <text>
        <t>Loan: BMO 5 T680 Sleepers, 9359467001. Source: loans.md</t>
      </text>
    </comment>
    <comment ref="D35" authorId="0" shapeId="0">
      <text>
        <t>Loan: BMO 5 T680 Sleepers. Interest = Opening * AnnualRate/12</t>
      </text>
    </comment>
    <comment ref="E35" authorId="0" shapeId="0">
      <text>
        <t>Loan: BMO 5 T680 Sleepers. Principal = Payment - Interest (capped at opening)</t>
      </text>
    </comment>
    <comment ref="F35" authorId="0" shapeId="0">
      <text>
        <t>Loan: BMO 5 T680 Sleepers. Closing = Opening - Principal</t>
      </text>
    </comment>
    <comment ref="C36" authorId="0" shapeId="0">
      <text>
        <t>Loan: BMO 5 T680 Sleepers, 9359467001. Source: loans.md</t>
      </text>
    </comment>
    <comment ref="D36" authorId="0" shapeId="0">
      <text>
        <t>Loan: BMO 5 T680 Sleepers. Interest = Opening * AnnualRate/12</t>
      </text>
    </comment>
    <comment ref="E36" authorId="0" shapeId="0">
      <text>
        <t>Loan: BMO 5 T680 Sleepers. Principal = Payment - Interest (capped at opening)</t>
      </text>
    </comment>
    <comment ref="F36" authorId="0" shapeId="0">
      <text>
        <t>Loan: BMO 5 T680 Sleepers. Closing = Opening - Principal</t>
      </text>
    </comment>
    <comment ref="C37" authorId="0" shapeId="0">
      <text>
        <t>Loan: BMO 5 T680 Sleepers, 9359467001. Source: loans.md</t>
      </text>
    </comment>
    <comment ref="D37" authorId="0" shapeId="0">
      <text>
        <t>Loan: BMO 5 T680 Sleepers. Interest = Opening * AnnualRate/12</t>
      </text>
    </comment>
    <comment ref="E37" authorId="0" shapeId="0">
      <text>
        <t>Loan: BMO 5 T680 Sleepers. Principal = Payment - Interest (capped at opening)</t>
      </text>
    </comment>
    <comment ref="F37" authorId="0" shapeId="0">
      <text>
        <t>Loan: BMO 5 T680 Sleepers. Closing = Opening - Principal</t>
      </text>
    </comment>
    <comment ref="C38" authorId="0" shapeId="0">
      <text>
        <t>Loan: BMO 5 T680 Sleepers, 9359467001. Source: loans.md</t>
      </text>
    </comment>
    <comment ref="D38" authorId="0" shapeId="0">
      <text>
        <t>Loan: BMO 5 T680 Sleepers. Interest = Opening * AnnualRate/12</t>
      </text>
    </comment>
    <comment ref="E38" authorId="0" shapeId="0">
      <text>
        <t>Loan: BMO 5 T680 Sleepers. Principal = Payment - Interest (capped at opening)</t>
      </text>
    </comment>
    <comment ref="F38" authorId="0" shapeId="0">
      <text>
        <t>Loan: BMO 5 T680 Sleepers. Closing = Opening - Principal</t>
      </text>
    </comment>
    <comment ref="C39" authorId="0" shapeId="0">
      <text>
        <t>Loan: BMO 5 T680 Sleepers, 9359467001. Source: loans.md</t>
      </text>
    </comment>
    <comment ref="D39" authorId="0" shapeId="0">
      <text>
        <t>Loan: BMO 5 T680 Sleepers. Interest = Opening * AnnualRate/12</t>
      </text>
    </comment>
    <comment ref="E39" authorId="0" shapeId="0">
      <text>
        <t>Loan: BMO 5 T680 Sleepers. Principal = Payment - Interest (capped at opening)</t>
      </text>
    </comment>
    <comment ref="F39" authorId="0" shapeId="0">
      <text>
        <t>Loan: BMO 5 T680 Sleepers. Closing = Opening - Principal</t>
      </text>
    </comment>
    <comment ref="C40" authorId="0" shapeId="0">
      <text>
        <t>Loan: BMO 5 T680 Sleepers, 9359467001. Source: loans.md</t>
      </text>
    </comment>
    <comment ref="D40" authorId="0" shapeId="0">
      <text>
        <t>Loan: BMO 5 T680 Sleepers. Interest = Opening * AnnualRate/12</t>
      </text>
    </comment>
    <comment ref="E40" authorId="0" shapeId="0">
      <text>
        <t>Loan: BMO 5 T680 Sleepers. Principal = Payment - Interest (capped at opening)</t>
      </text>
    </comment>
    <comment ref="F40" authorId="0" shapeId="0">
      <text>
        <t>Loan: BMO 5 T680 Sleepers. Closing = Opening - Principal</t>
      </text>
    </comment>
    <comment ref="C41" authorId="0" shapeId="0">
      <text>
        <t>Loan: BMO 5 T680 Sleepers, 9359467001. Source: loans.md</t>
      </text>
    </comment>
    <comment ref="D41" authorId="0" shapeId="0">
      <text>
        <t>Loan: BMO 5 T680 Sleepers. Interest = Opening * AnnualRate/12</t>
      </text>
    </comment>
    <comment ref="E41" authorId="0" shapeId="0">
      <text>
        <t>Loan: BMO 5 T680 Sleepers. Principal = Payment - Interest (capped at opening)</t>
      </text>
    </comment>
    <comment ref="F41" authorId="0" shapeId="0">
      <text>
        <t>Loan: BMO 5 T680 Sleepers. Closing = Opening - Principal</t>
      </text>
    </comment>
    <comment ref="C42" authorId="0" shapeId="0">
      <text>
        <t>Loan: BMO 5 T680 Sleepers, 9359467001. Source: loans.md</t>
      </text>
    </comment>
    <comment ref="D42" authorId="0" shapeId="0">
      <text>
        <t>Loan: BMO 5 T680 Sleepers. Interest = Opening * AnnualRate/12</t>
      </text>
    </comment>
    <comment ref="E42" authorId="0" shapeId="0">
      <text>
        <t>Loan: BMO 5 T680 Sleepers. Principal = Payment - Interest (capped at opening)</t>
      </text>
    </comment>
    <comment ref="F42" authorId="0" shapeId="0">
      <text>
        <t>Loan: BMO 5 T680 Sleepers. Closing = Opening - Principal</t>
      </text>
    </comment>
    <comment ref="C43" authorId="0" shapeId="0">
      <text>
        <t>Loan: BMO 5 T680 Sleepers, 9359467001. Source: loans.md</t>
      </text>
    </comment>
    <comment ref="D43" authorId="0" shapeId="0">
      <text>
        <t>Loan: BMO 5 T680 Sleepers. Interest = Opening * AnnualRate/12</t>
      </text>
    </comment>
    <comment ref="E43" authorId="0" shapeId="0">
      <text>
        <t>Loan: BMO 5 T680 Sleepers. Principal = Payment - Interest (capped at opening)</t>
      </text>
    </comment>
    <comment ref="F43" authorId="0" shapeId="0">
      <text>
        <t>Loan: BMO 5 T680 Sleepers. Closing = Opening - Principal</t>
      </text>
    </comment>
    <comment ref="C44" authorId="0" shapeId="0">
      <text>
        <t>Loan: BMO 5 T680 Sleepers, 9359467001. Source: loans.md</t>
      </text>
    </comment>
    <comment ref="D44" authorId="0" shapeId="0">
      <text>
        <t>Loan: BMO 5 T680 Sleepers. Interest = Opening * AnnualRate/12</t>
      </text>
    </comment>
    <comment ref="E44" authorId="0" shapeId="0">
      <text>
        <t>Loan: BMO 5 T680 Sleepers. Principal = Payment - Interest (capped at opening)</t>
      </text>
    </comment>
    <comment ref="F44" authorId="0" shapeId="0">
      <text>
        <t>Loan: BMO 5 T680 Sleepers. Closing = Opening - Principal</t>
      </text>
    </comment>
    <comment ref="C45" authorId="0" shapeId="0">
      <text>
        <t>Loan: BMO 5 T680 Sleepers, 9359467001. Source: loans.md</t>
      </text>
    </comment>
    <comment ref="D45" authorId="0" shapeId="0">
      <text>
        <t>Loan: BMO 5 T680 Sleepers. Interest = Opening * AnnualRate/12</t>
      </text>
    </comment>
    <comment ref="E45" authorId="0" shapeId="0">
      <text>
        <t>Loan: BMO 5 T680 Sleepers. Principal = Payment - Interest (capped at opening)</t>
      </text>
    </comment>
    <comment ref="F45" authorId="0" shapeId="0">
      <text>
        <t>Loan: BMO 5 T680 Sleepers. Closing = Opening - Principal</t>
      </text>
    </comment>
    <comment ref="C46" authorId="0" shapeId="0">
      <text>
        <t>Loan: BMO 5 T680 Sleepers, 9359467001. Source: loans.md</t>
      </text>
    </comment>
    <comment ref="D46" authorId="0" shapeId="0">
      <text>
        <t>Loan: BMO 5 T680 Sleepers. Interest = Opening * AnnualRate/12</t>
      </text>
    </comment>
    <comment ref="E46" authorId="0" shapeId="0">
      <text>
        <t>Loan: BMO 5 T680 Sleepers. Principal = Payment - Interest (capped at opening)</t>
      </text>
    </comment>
    <comment ref="F46" authorId="0" shapeId="0">
      <text>
        <t>Loan: BMO 5 T680 Sleepers. Closing = Opening - Principal</t>
      </text>
    </comment>
    <comment ref="C47" authorId="0" shapeId="0">
      <text>
        <t>Loan: BMO 5 T680 Sleepers, 9359467001. Source: loans.md</t>
      </text>
    </comment>
    <comment ref="D47" authorId="0" shapeId="0">
      <text>
        <t>Loan: BMO 5 T680 Sleepers. Interest = Opening * AnnualRate/12</t>
      </text>
    </comment>
    <comment ref="E47" authorId="0" shapeId="0">
      <text>
        <t>Loan: BMO 5 T680 Sleepers. Principal = Payment - Interest (capped at opening)</t>
      </text>
    </comment>
    <comment ref="F47" authorId="0" shapeId="0">
      <text>
        <t>Loan: BMO 5 T680 Sleepers. Closing = Opening - Principal</t>
      </text>
    </comment>
    <comment ref="C48" authorId="0" shapeId="0">
      <text>
        <t>Loan: BMO 5 T680 Sleepers, 9359467001. Source: loans.md</t>
      </text>
    </comment>
    <comment ref="D48" authorId="0" shapeId="0">
      <text>
        <t>Loan: BMO 5 T680 Sleepers. Interest = Opening * AnnualRate/12</t>
      </text>
    </comment>
    <comment ref="E48" authorId="0" shapeId="0">
      <text>
        <t>Loan: BMO 5 T680 Sleepers. Principal = Payment - Interest (capped at opening)</t>
      </text>
    </comment>
    <comment ref="F48" authorId="0" shapeId="0">
      <text>
        <t>Loan: BMO 5 T680 Sleepers. Closing = Opening - Principal</t>
      </text>
    </comment>
    <comment ref="C52" authorId="0" shapeId="0">
      <text>
        <t>Sum of rows 23: Opening balance for 2026</t>
      </text>
    </comment>
    <comment ref="D52" authorId="0" shapeId="0">
      <text>
        <t>Sum of rows 23-34: Total interest for 2026</t>
      </text>
    </comment>
    <comment ref="E52" authorId="0" shapeId="0">
      <text>
        <t>Sum of rows 23-34: Total principal for 2026</t>
      </text>
    </comment>
    <comment ref="F52" authorId="0" shapeId="0">
      <text>
        <t>Row 34: Ending balance for 2026</t>
      </text>
    </comment>
    <comment ref="C53" authorId="0" shapeId="0">
      <text>
        <t>Sum of rows 35: Opening balance for 2027</t>
      </text>
    </comment>
    <comment ref="D53" authorId="0" shapeId="0">
      <text>
        <t>Sum of rows 35-46: Total interest for 2027</t>
      </text>
    </comment>
    <comment ref="E53" authorId="0" shapeId="0">
      <text>
        <t>Sum of rows 35-46: Total principal for 2027</t>
      </text>
    </comment>
    <comment ref="F53" authorId="0" shapeId="0">
      <text>
        <t>Row 46: Ending balance for 2027</t>
      </text>
    </comment>
    <comment ref="C54" authorId="0" shapeId="0">
      <text>
        <t>Sum of rows 47: Opening balance for 2028</t>
      </text>
    </comment>
    <comment ref="D54" authorId="0" shapeId="0">
      <text>
        <t>Sum of rows 47-48: Total interest for 2028</t>
      </text>
    </comment>
    <comment ref="E54" authorId="0" shapeId="0">
      <text>
        <t>Sum of rows 47-48: Total principal for 2028</t>
      </text>
    </comment>
    <comment ref="F54" authorId="0" shapeId="0">
      <text>
        <t>Row 48: Ending balance for 2028</t>
      </text>
    </comment>
  </commentList>
</comments>
</file>

<file path=xl/comments/comment6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loans.md, Loan 02
Extracted: 2026-05-14</t>
      </text>
    </comment>
    <comment ref="B6" authorId="0" shapeId="0">
      <text>
        <t>Source: Meiborg_Debt_Schedule_202512.xlsx
Balance as of 12/31/2025
Original Balance: $981,215.00</t>
      </text>
    </comment>
    <comment ref="B7" authorId="0" shapeId="0">
      <text>
        <t>Source: loans.md, Loan 02
Extracted: 2026-05-14</t>
      </text>
    </comment>
    <comment ref="B8" authorId="0" shapeId="0">
      <text>
        <t>Source: loans.md, Loan 02
Extracted: 2026-05-14</t>
      </text>
    </comment>
    <comment ref="C23" authorId="0" shapeId="0">
      <text>
        <t>Loan: Webster Capital Finance. Source: Meiborg_Debt_Schedule_202512.xlsx</t>
      </text>
    </comment>
    <comment ref="D23" authorId="0" shapeId="0">
      <text>
        <t>Loan: Webster Capital Finance. Interest = MAX(0, Opening * Rate/12)</t>
      </text>
    </comment>
    <comment ref="E23" authorId="0" shapeId="0">
      <text>
        <t>Loan: Webster Capital Finance. Principal = MAX(0, MIN(Opening, Payment - Interest))</t>
      </text>
    </comment>
    <comment ref="F23" authorId="0" shapeId="0">
      <text>
        <t>Loan: Webster Capital Finance. Closing = MAX(0, Opening - Principal)</t>
      </text>
    </comment>
    <comment ref="C24" authorId="0" shapeId="0">
      <text>
        <t>Loan: Webster Capital Finance. Opening = prior month closing balance.</t>
      </text>
    </comment>
    <comment ref="D24" authorId="0" shapeId="0">
      <text>
        <t>Loan: Webster Capital Finance. Interest = MAX(0, Opening * Rate/12)</t>
      </text>
    </comment>
    <comment ref="E24" authorId="0" shapeId="0">
      <text>
        <t>Loan: Webster Capital Finance. Principal = MAX(0, MIN(Opening, Payment - Interest))</t>
      </text>
    </comment>
    <comment ref="F24" authorId="0" shapeId="0">
      <text>
        <t>Loan: Webster Capital Finance. Closing = MAX(0, Opening - Principal)</t>
      </text>
    </comment>
    <comment ref="C25" authorId="0" shapeId="0">
      <text>
        <t>Loan: Webster Capital Finance. Opening = prior month closing balance.</t>
      </text>
    </comment>
    <comment ref="D25" authorId="0" shapeId="0">
      <text>
        <t>Loan: Webster Capital Finance. Interest = MAX(0, Opening * Rate/12)</t>
      </text>
    </comment>
    <comment ref="E25" authorId="0" shapeId="0">
      <text>
        <t>Loan: Webster Capital Finance. Principal = MAX(0, MIN(Opening, Payment - Interest))</t>
      </text>
    </comment>
    <comment ref="F25" authorId="0" shapeId="0">
      <text>
        <t>Loan: Webster Capital Finance. Closing = MAX(0, Opening - Principal)</t>
      </text>
    </comment>
    <comment ref="C26" authorId="0" shapeId="0">
      <text>
        <t>Loan: Webster Capital Finance. Opening = prior month closing balance.</t>
      </text>
    </comment>
    <comment ref="D26" authorId="0" shapeId="0">
      <text>
        <t>Loan: Webster Capital Finance. Interest = MAX(0, Opening * Rate/12)</t>
      </text>
    </comment>
    <comment ref="E26" authorId="0" shapeId="0">
      <text>
        <t>Loan: Webster Capital Finance. Principal = MAX(0, MIN(Opening, Payment - Interest))</t>
      </text>
    </comment>
    <comment ref="F26" authorId="0" shapeId="0">
      <text>
        <t>Loan: Webster Capital Finance. Closing = MAX(0, Opening - Principal)</t>
      </text>
    </comment>
    <comment ref="C27" authorId="0" shapeId="0">
      <text>
        <t>Loan: Webster Capital Finance. Opening = prior month closing balance.</t>
      </text>
    </comment>
    <comment ref="D27" authorId="0" shapeId="0">
      <text>
        <t>Loan: Webster Capital Finance. Interest = MAX(0, Opening * Rate/12)</t>
      </text>
    </comment>
    <comment ref="E27" authorId="0" shapeId="0">
      <text>
        <t>Loan: Webster Capital Finance. Principal = MAX(0, MIN(Opening, Payment - Interest))</t>
      </text>
    </comment>
    <comment ref="F27" authorId="0" shapeId="0">
      <text>
        <t>Loan: Webster Capital Finance. Closing = MAX(0, Opening - Principal)</t>
      </text>
    </comment>
    <comment ref="C28" authorId="0" shapeId="0">
      <text>
        <t>Loan: Webster Capital Finance. Opening = prior month closing balance.</t>
      </text>
    </comment>
    <comment ref="D28" authorId="0" shapeId="0">
      <text>
        <t>Loan: Webster Capital Finance. Interest = MAX(0, Opening * Rate/12)</t>
      </text>
    </comment>
    <comment ref="E28" authorId="0" shapeId="0">
      <text>
        <t>Loan: Webster Capital Finance. Principal = MAX(0, MIN(Opening, Payment - Interest))</t>
      </text>
    </comment>
    <comment ref="F28" authorId="0" shapeId="0">
      <text>
        <t>Loan: Webster Capital Finance. Closing = MAX(0, Opening - Principal)</t>
      </text>
    </comment>
    <comment ref="C29" authorId="0" shapeId="0">
      <text>
        <t>Loan: Webster Capital Finance. Opening = prior month closing balance.</t>
      </text>
    </comment>
    <comment ref="D29" authorId="0" shapeId="0">
      <text>
        <t>Loan: Webster Capital Finance. Interest = MAX(0, Opening * Rate/12)</t>
      </text>
    </comment>
    <comment ref="E29" authorId="0" shapeId="0">
      <text>
        <t>Loan: Webster Capital Finance. Principal = MAX(0, MIN(Opening, Payment - Interest))</t>
      </text>
    </comment>
    <comment ref="F29" authorId="0" shapeId="0">
      <text>
        <t>Loan: Webster Capital Finance. Closing = MAX(0, Opening - Principal)</t>
      </text>
    </comment>
    <comment ref="C30" authorId="0" shapeId="0">
      <text>
        <t>Loan: Webster Capital Finance. Opening = prior month closing balance.</t>
      </text>
    </comment>
    <comment ref="D30" authorId="0" shapeId="0">
      <text>
        <t>Loan: Webster Capital Finance. Interest = MAX(0, Opening * Rate/12)</t>
      </text>
    </comment>
    <comment ref="E30" authorId="0" shapeId="0">
      <text>
        <t>Loan: Webster Capital Finance. Principal = MAX(0, MIN(Opening, Payment - Interest))</t>
      </text>
    </comment>
    <comment ref="F30" authorId="0" shapeId="0">
      <text>
        <t>Loan: Webster Capital Finance. Closing = MAX(0, Opening - Principal)</t>
      </text>
    </comment>
    <comment ref="C31" authorId="0" shapeId="0">
      <text>
        <t>Loan: Webster Capital Finance. Opening = prior month closing balance.</t>
      </text>
    </comment>
    <comment ref="D31" authorId="0" shapeId="0">
      <text>
        <t>Loan: Webster Capital Finance. Interest = MAX(0, Opening * Rate/12)</t>
      </text>
    </comment>
    <comment ref="E31" authorId="0" shapeId="0">
      <text>
        <t>Loan: Webster Capital Finance. Principal = MAX(0, MIN(Opening, Payment - Interest))</t>
      </text>
    </comment>
    <comment ref="F31" authorId="0" shapeId="0">
      <text>
        <t>Loan: Webster Capital Finance. Closing = MAX(0, Opening - Principal)</t>
      </text>
    </comment>
    <comment ref="C32" authorId="0" shapeId="0">
      <text>
        <t>Loan: Webster Capital Finance. Opening = prior month closing balance.</t>
      </text>
    </comment>
    <comment ref="D32" authorId="0" shapeId="0">
      <text>
        <t>Loan: Webster Capital Finance. Interest = MAX(0, Opening * Rate/12)</t>
      </text>
    </comment>
    <comment ref="E32" authorId="0" shapeId="0">
      <text>
        <t>Loan: Webster Capital Finance. Principal = MAX(0, MIN(Opening, Payment - Interest))</t>
      </text>
    </comment>
    <comment ref="F32" authorId="0" shapeId="0">
      <text>
        <t>Loan: Webster Capital Finance. Closing = MAX(0, Opening - Principal)</t>
      </text>
    </comment>
    <comment ref="C33" authorId="0" shapeId="0">
      <text>
        <t>Loan: Webster Capital Finance. Opening = prior month closing balance.</t>
      </text>
    </comment>
    <comment ref="D33" authorId="0" shapeId="0">
      <text>
        <t>Loan: Webster Capital Finance. Interest = MAX(0, Opening * Rate/12)</t>
      </text>
    </comment>
    <comment ref="E33" authorId="0" shapeId="0">
      <text>
        <t>Loan: Webster Capital Finance. Principal = MAX(0, MIN(Opening, Payment - Interest))</t>
      </text>
    </comment>
    <comment ref="F33" authorId="0" shapeId="0">
      <text>
        <t>Loan: Webster Capital Finance. Closing = MAX(0, Opening - Principal)</t>
      </text>
    </comment>
    <comment ref="C34" authorId="0" shapeId="0">
      <text>
        <t>Loan: Webster Capital Finance. Opening = prior month closing balance.</t>
      </text>
    </comment>
    <comment ref="D34" authorId="0" shapeId="0">
      <text>
        <t>Loan: Webster Capital Finance. Interest = MAX(0, Opening * Rate/12)</t>
      </text>
    </comment>
    <comment ref="E34" authorId="0" shapeId="0">
      <text>
        <t>Loan: Webster Capital Finance. Principal = MAX(0, MIN(Opening, Payment - Interest))</t>
      </text>
    </comment>
    <comment ref="F34" authorId="0" shapeId="0">
      <text>
        <t>Loan: Webster Capital Finance. Closing = MAX(0, Opening - Principal)</t>
      </text>
    </comment>
    <comment ref="C35" authorId="0" shapeId="0">
      <text>
        <t>Loan: Webster Capital Finance. Opening = prior month closing balance.</t>
      </text>
    </comment>
    <comment ref="D35" authorId="0" shapeId="0">
      <text>
        <t>Loan: Webster Capital Finance. Interest = MAX(0, Opening * Rate/12)</t>
      </text>
    </comment>
    <comment ref="E35" authorId="0" shapeId="0">
      <text>
        <t>Loan: Webster Capital Finance. Principal = MAX(0, MIN(Opening, Payment - Interest))</t>
      </text>
    </comment>
    <comment ref="F35" authorId="0" shapeId="0">
      <text>
        <t>Loan: Webster Capital Finance. Closing = MAX(0, Opening - Principal)</t>
      </text>
    </comment>
    <comment ref="C40" authorId="0" shapeId="0">
      <text>
        <t>Sum of rows 23-34: Year 2026 opening balance</t>
      </text>
    </comment>
    <comment ref="D40" authorId="0" shapeId="0">
      <text>
        <t>Sum of rows 23-34: Year 2026 interest expense</t>
      </text>
    </comment>
    <comment ref="E40" authorId="0" shapeId="0">
      <text>
        <t>Sum of rows 23-34: Year 2026 principal repaid</t>
      </text>
    </comment>
    <comment ref="F40" authorId="0" shapeId="0">
      <text>
        <t>Sum of rows 23-34: Year 2026 closing balance</t>
      </text>
    </comment>
    <comment ref="C41" authorId="0" shapeId="0">
      <text>
        <t>Sum of rows 35-35: Year 2027 opening balance</t>
      </text>
    </comment>
    <comment ref="D41" authorId="0" shapeId="0">
      <text>
        <t>Sum of rows 35-35: Year 2027 interest expense</t>
      </text>
    </comment>
    <comment ref="E41" authorId="0" shapeId="0">
      <text>
        <t>Sum of rows 35-35: Year 2027 principal repaid</t>
      </text>
    </comment>
    <comment ref="F41" authorId="0" shapeId="0">
      <text>
        <t>Sum of rows 35-35: Year 2027 closing balance</t>
      </text>
    </comment>
  </commentList>
</comments>
</file>

<file path=xl/comments/comment60.xml><?xml version="1.0" encoding="utf-8"?>
<comments xmlns="http://schemas.openxmlformats.org/spreadsheetml/2006/main">
  <authors>
    <author>Model Builder</author>
  </authors>
  <commentList>
    <comment ref="B6" authorId="0" shapeId="0">
      <text>
        <t>Source: loans.md - BMO Loan 9368193001
Balance as of 12/31/2025</t>
      </text>
    </comment>
    <comment ref="B7" authorId="0" shapeId="0">
      <text>
        <t>Source: loans.md - BMO Loan 9368193001
Fixed rate per loan agreement</t>
      </text>
    </comment>
    <comment ref="B8" authorId="0" shapeId="0">
      <text>
        <t>Source: loans.md - BMO Loan 9368193001
Fixed monthly payment</t>
      </text>
    </comment>
    <comment ref="C23" authorId="0" shapeId="0">
      <text>
        <t>Loan: BMO 5 T680 Daycabs, 9368193001. Source: loans.md</t>
      </text>
    </comment>
    <comment ref="D23" authorId="0" shapeId="0">
      <text>
        <t>Loan: BMO 5 T680 Daycabs. Interest = Opening * AnnualRate/12</t>
      </text>
    </comment>
    <comment ref="E23" authorId="0" shapeId="0">
      <text>
        <t>Loan: BMO 5 T680 Daycabs. Principal = Payment - Interest (capped at opening)</t>
      </text>
    </comment>
    <comment ref="F23" authorId="0" shapeId="0">
      <text>
        <t>Loan: BMO 5 T680 Daycabs. Closing = Opening - Principal</t>
      </text>
    </comment>
    <comment ref="C24" authorId="0" shapeId="0">
      <text>
        <t>Loan: BMO 5 T680 Daycabs, 9368193001. Source: loans.md</t>
      </text>
    </comment>
    <comment ref="D24" authorId="0" shapeId="0">
      <text>
        <t>Loan: BMO 5 T680 Daycabs. Interest = Opening * AnnualRate/12</t>
      </text>
    </comment>
    <comment ref="E24" authorId="0" shapeId="0">
      <text>
        <t>Loan: BMO 5 T680 Daycabs. Principal = Payment - Interest (capped at opening)</t>
      </text>
    </comment>
    <comment ref="F24" authorId="0" shapeId="0">
      <text>
        <t>Loan: BMO 5 T680 Daycabs. Closing = Opening - Principal</t>
      </text>
    </comment>
    <comment ref="C25" authorId="0" shapeId="0">
      <text>
        <t>Loan: BMO 5 T680 Daycabs, 9368193001. Source: loans.md</t>
      </text>
    </comment>
    <comment ref="D25" authorId="0" shapeId="0">
      <text>
        <t>Loan: BMO 5 T680 Daycabs. Interest = Opening * AnnualRate/12</t>
      </text>
    </comment>
    <comment ref="E25" authorId="0" shapeId="0">
      <text>
        <t>Loan: BMO 5 T680 Daycabs. Principal = Payment - Interest (capped at opening)</t>
      </text>
    </comment>
    <comment ref="F25" authorId="0" shapeId="0">
      <text>
        <t>Loan: BMO 5 T680 Daycabs. Closing = Opening - Principal</t>
      </text>
    </comment>
    <comment ref="C26" authorId="0" shapeId="0">
      <text>
        <t>Loan: BMO 5 T680 Daycabs, 9368193001. Source: loans.md</t>
      </text>
    </comment>
    <comment ref="D26" authorId="0" shapeId="0">
      <text>
        <t>Loan: BMO 5 T680 Daycabs. Interest = Opening * AnnualRate/12</t>
      </text>
    </comment>
    <comment ref="E26" authorId="0" shapeId="0">
      <text>
        <t>Loan: BMO 5 T680 Daycabs. Principal = Payment - Interest (capped at opening)</t>
      </text>
    </comment>
    <comment ref="F26" authorId="0" shapeId="0">
      <text>
        <t>Loan: BMO 5 T680 Daycabs. Closing = Opening - Principal</t>
      </text>
    </comment>
    <comment ref="C27" authorId="0" shapeId="0">
      <text>
        <t>Loan: BMO 5 T680 Daycabs, 9368193001. Source: loans.md</t>
      </text>
    </comment>
    <comment ref="D27" authorId="0" shapeId="0">
      <text>
        <t>Loan: BMO 5 T680 Daycabs. Interest = Opening * AnnualRate/12</t>
      </text>
    </comment>
    <comment ref="E27" authorId="0" shapeId="0">
      <text>
        <t>Loan: BMO 5 T680 Daycabs. Principal = Payment - Interest (capped at opening)</t>
      </text>
    </comment>
    <comment ref="F27" authorId="0" shapeId="0">
      <text>
        <t>Loan: BMO 5 T680 Daycabs. Closing = Opening - Principal</t>
      </text>
    </comment>
    <comment ref="C28" authorId="0" shapeId="0">
      <text>
        <t>Loan: BMO 5 T680 Daycabs, 9368193001. Source: loans.md</t>
      </text>
    </comment>
    <comment ref="D28" authorId="0" shapeId="0">
      <text>
        <t>Loan: BMO 5 T680 Daycabs. Interest = Opening * AnnualRate/12</t>
      </text>
    </comment>
    <comment ref="E28" authorId="0" shapeId="0">
      <text>
        <t>Loan: BMO 5 T680 Daycabs. Principal = Payment - Interest (capped at opening)</t>
      </text>
    </comment>
    <comment ref="F28" authorId="0" shapeId="0">
      <text>
        <t>Loan: BMO 5 T680 Daycabs. Closing = Opening - Principal</t>
      </text>
    </comment>
    <comment ref="C29" authorId="0" shapeId="0">
      <text>
        <t>Loan: BMO 5 T680 Daycabs, 9368193001. Source: loans.md</t>
      </text>
    </comment>
    <comment ref="D29" authorId="0" shapeId="0">
      <text>
        <t>Loan: BMO 5 T680 Daycabs. Interest = Opening * AnnualRate/12</t>
      </text>
    </comment>
    <comment ref="E29" authorId="0" shapeId="0">
      <text>
        <t>Loan: BMO 5 T680 Daycabs. Principal = Payment - Interest (capped at opening)</t>
      </text>
    </comment>
    <comment ref="F29" authorId="0" shapeId="0">
      <text>
        <t>Loan: BMO 5 T680 Daycabs. Closing = Opening - Principal</t>
      </text>
    </comment>
    <comment ref="C30" authorId="0" shapeId="0">
      <text>
        <t>Loan: BMO 5 T680 Daycabs, 9368193001. Source: loans.md</t>
      </text>
    </comment>
    <comment ref="D30" authorId="0" shapeId="0">
      <text>
        <t>Loan: BMO 5 T680 Daycabs. Interest = Opening * AnnualRate/12</t>
      </text>
    </comment>
    <comment ref="E30" authorId="0" shapeId="0">
      <text>
        <t>Loan: BMO 5 T680 Daycabs. Principal = Payment - Interest (capped at opening)</t>
      </text>
    </comment>
    <comment ref="F30" authorId="0" shapeId="0">
      <text>
        <t>Loan: BMO 5 T680 Daycabs. Closing = Opening - Principal</t>
      </text>
    </comment>
    <comment ref="C31" authorId="0" shapeId="0">
      <text>
        <t>Loan: BMO 5 T680 Daycabs, 9368193001. Source: loans.md</t>
      </text>
    </comment>
    <comment ref="D31" authorId="0" shapeId="0">
      <text>
        <t>Loan: BMO 5 T680 Daycabs. Interest = Opening * AnnualRate/12</t>
      </text>
    </comment>
    <comment ref="E31" authorId="0" shapeId="0">
      <text>
        <t>Loan: BMO 5 T680 Daycabs. Principal = Payment - Interest (capped at opening)</t>
      </text>
    </comment>
    <comment ref="F31" authorId="0" shapeId="0">
      <text>
        <t>Loan: BMO 5 T680 Daycabs. Closing = Opening - Principal</t>
      </text>
    </comment>
    <comment ref="C32" authorId="0" shapeId="0">
      <text>
        <t>Loan: BMO 5 T680 Daycabs, 9368193001. Source: loans.md</t>
      </text>
    </comment>
    <comment ref="D32" authorId="0" shapeId="0">
      <text>
        <t>Loan: BMO 5 T680 Daycabs. Interest = Opening * AnnualRate/12</t>
      </text>
    </comment>
    <comment ref="E32" authorId="0" shapeId="0">
      <text>
        <t>Loan: BMO 5 T680 Daycabs. Principal = Payment - Interest (capped at opening)</t>
      </text>
    </comment>
    <comment ref="F32" authorId="0" shapeId="0">
      <text>
        <t>Loan: BMO 5 T680 Daycabs. Closing = Opening - Principal</t>
      </text>
    </comment>
    <comment ref="C33" authorId="0" shapeId="0">
      <text>
        <t>Loan: BMO 5 T680 Daycabs, 9368193001. Source: loans.md</t>
      </text>
    </comment>
    <comment ref="D33" authorId="0" shapeId="0">
      <text>
        <t>Loan: BMO 5 T680 Daycabs. Interest = Opening * AnnualRate/12</t>
      </text>
    </comment>
    <comment ref="E33" authorId="0" shapeId="0">
      <text>
        <t>Loan: BMO 5 T680 Daycabs. Principal = Payment - Interest (capped at opening)</t>
      </text>
    </comment>
    <comment ref="F33" authorId="0" shapeId="0">
      <text>
        <t>Loan: BMO 5 T680 Daycabs. Closing = Opening - Principal</t>
      </text>
    </comment>
    <comment ref="C34" authorId="0" shapeId="0">
      <text>
        <t>Loan: BMO 5 T680 Daycabs, 9368193001. Source: loans.md</t>
      </text>
    </comment>
    <comment ref="D34" authorId="0" shapeId="0">
      <text>
        <t>Loan: BMO 5 T680 Daycabs. Interest = Opening * AnnualRate/12</t>
      </text>
    </comment>
    <comment ref="E34" authorId="0" shapeId="0">
      <text>
        <t>Loan: BMO 5 T680 Daycabs. Principal = Payment - Interest (capped at opening)</t>
      </text>
    </comment>
    <comment ref="F34" authorId="0" shapeId="0">
      <text>
        <t>Loan: BMO 5 T680 Daycabs. Closing = Opening - Principal</t>
      </text>
    </comment>
    <comment ref="C35" authorId="0" shapeId="0">
      <text>
        <t>Loan: BMO 5 T680 Daycabs, 9368193001. Source: loans.md</t>
      </text>
    </comment>
    <comment ref="D35" authorId="0" shapeId="0">
      <text>
        <t>Loan: BMO 5 T680 Daycabs. Interest = Opening * AnnualRate/12</t>
      </text>
    </comment>
    <comment ref="E35" authorId="0" shapeId="0">
      <text>
        <t>Loan: BMO 5 T680 Daycabs. Principal = Payment - Interest (capped at opening)</t>
      </text>
    </comment>
    <comment ref="F35" authorId="0" shapeId="0">
      <text>
        <t>Loan: BMO 5 T680 Daycabs. Closing = Opening - Principal</t>
      </text>
    </comment>
    <comment ref="C36" authorId="0" shapeId="0">
      <text>
        <t>Loan: BMO 5 T680 Daycabs, 9368193001. Source: loans.md</t>
      </text>
    </comment>
    <comment ref="D36" authorId="0" shapeId="0">
      <text>
        <t>Loan: BMO 5 T680 Daycabs. Interest = Opening * AnnualRate/12</t>
      </text>
    </comment>
    <comment ref="E36" authorId="0" shapeId="0">
      <text>
        <t>Loan: BMO 5 T680 Daycabs. Principal = Payment - Interest (capped at opening)</t>
      </text>
    </comment>
    <comment ref="F36" authorId="0" shapeId="0">
      <text>
        <t>Loan: BMO 5 T680 Daycabs. Closing = Opening - Principal</t>
      </text>
    </comment>
    <comment ref="C37" authorId="0" shapeId="0">
      <text>
        <t>Loan: BMO 5 T680 Daycabs, 9368193001. Source: loans.md</t>
      </text>
    </comment>
    <comment ref="D37" authorId="0" shapeId="0">
      <text>
        <t>Loan: BMO 5 T680 Daycabs. Interest = Opening * AnnualRate/12</t>
      </text>
    </comment>
    <comment ref="E37" authorId="0" shapeId="0">
      <text>
        <t>Loan: BMO 5 T680 Daycabs. Principal = Payment - Interest (capped at opening)</t>
      </text>
    </comment>
    <comment ref="F37" authorId="0" shapeId="0">
      <text>
        <t>Loan: BMO 5 T680 Daycabs. Closing = Opening - Principal</t>
      </text>
    </comment>
    <comment ref="C38" authorId="0" shapeId="0">
      <text>
        <t>Loan: BMO 5 T680 Daycabs, 9368193001. Source: loans.md</t>
      </text>
    </comment>
    <comment ref="D38" authorId="0" shapeId="0">
      <text>
        <t>Loan: BMO 5 T680 Daycabs. Interest = Opening * AnnualRate/12</t>
      </text>
    </comment>
    <comment ref="E38" authorId="0" shapeId="0">
      <text>
        <t>Loan: BMO 5 T680 Daycabs. Principal = Payment - Interest (capped at opening)</t>
      </text>
    </comment>
    <comment ref="F38" authorId="0" shapeId="0">
      <text>
        <t>Loan: BMO 5 T680 Daycabs. Closing = Opening - Principal</t>
      </text>
    </comment>
    <comment ref="C39" authorId="0" shapeId="0">
      <text>
        <t>Loan: BMO 5 T680 Daycabs, 9368193001. Source: loans.md</t>
      </text>
    </comment>
    <comment ref="D39" authorId="0" shapeId="0">
      <text>
        <t>Loan: BMO 5 T680 Daycabs. Interest = Opening * AnnualRate/12</t>
      </text>
    </comment>
    <comment ref="E39" authorId="0" shapeId="0">
      <text>
        <t>Loan: BMO 5 T680 Daycabs. Principal = Payment - Interest (capped at opening)</t>
      </text>
    </comment>
    <comment ref="F39" authorId="0" shapeId="0">
      <text>
        <t>Loan: BMO 5 T680 Daycabs. Closing = Opening - Principal</t>
      </text>
    </comment>
    <comment ref="C40" authorId="0" shapeId="0">
      <text>
        <t>Loan: BMO 5 T680 Daycabs, 9368193001. Source: loans.md</t>
      </text>
    </comment>
    <comment ref="D40" authorId="0" shapeId="0">
      <text>
        <t>Loan: BMO 5 T680 Daycabs. Interest = Opening * AnnualRate/12</t>
      </text>
    </comment>
    <comment ref="E40" authorId="0" shapeId="0">
      <text>
        <t>Loan: BMO 5 T680 Daycabs. Principal = Payment - Interest (capped at opening)</t>
      </text>
    </comment>
    <comment ref="F40" authorId="0" shapeId="0">
      <text>
        <t>Loan: BMO 5 T680 Daycabs. Closing = Opening - Principal</t>
      </text>
    </comment>
    <comment ref="C41" authorId="0" shapeId="0">
      <text>
        <t>Loan: BMO 5 T680 Daycabs, 9368193001. Source: loans.md</t>
      </text>
    </comment>
    <comment ref="D41" authorId="0" shapeId="0">
      <text>
        <t>Loan: BMO 5 T680 Daycabs. Interest = Opening * AnnualRate/12</t>
      </text>
    </comment>
    <comment ref="E41" authorId="0" shapeId="0">
      <text>
        <t>Loan: BMO 5 T680 Daycabs. Principal = Payment - Interest (capped at opening)</t>
      </text>
    </comment>
    <comment ref="F41" authorId="0" shapeId="0">
      <text>
        <t>Loan: BMO 5 T680 Daycabs. Closing = Opening - Principal</t>
      </text>
    </comment>
    <comment ref="C42" authorId="0" shapeId="0">
      <text>
        <t>Loan: BMO 5 T680 Daycabs, 9368193001. Source: loans.md</t>
      </text>
    </comment>
    <comment ref="D42" authorId="0" shapeId="0">
      <text>
        <t>Loan: BMO 5 T680 Daycabs. Interest = Opening * AnnualRate/12</t>
      </text>
    </comment>
    <comment ref="E42" authorId="0" shapeId="0">
      <text>
        <t>Loan: BMO 5 T680 Daycabs. Principal = Payment - Interest (capped at opening)</t>
      </text>
    </comment>
    <comment ref="F42" authorId="0" shapeId="0">
      <text>
        <t>Loan: BMO 5 T680 Daycabs. Closing = Opening - Principal</t>
      </text>
    </comment>
    <comment ref="C43" authorId="0" shapeId="0">
      <text>
        <t>Loan: BMO 5 T680 Daycabs, 9368193001. Source: loans.md</t>
      </text>
    </comment>
    <comment ref="D43" authorId="0" shapeId="0">
      <text>
        <t>Loan: BMO 5 T680 Daycabs. Interest = Opening * AnnualRate/12</t>
      </text>
    </comment>
    <comment ref="E43" authorId="0" shapeId="0">
      <text>
        <t>Loan: BMO 5 T680 Daycabs. Principal = Payment - Interest (capped at opening)</t>
      </text>
    </comment>
    <comment ref="F43" authorId="0" shapeId="0">
      <text>
        <t>Loan: BMO 5 T680 Daycabs. Closing = Opening - Principal</t>
      </text>
    </comment>
    <comment ref="C44" authorId="0" shapeId="0">
      <text>
        <t>Loan: BMO 5 T680 Daycabs, 9368193001. Source: loans.md</t>
      </text>
    </comment>
    <comment ref="D44" authorId="0" shapeId="0">
      <text>
        <t>Loan: BMO 5 T680 Daycabs. Interest = Opening * AnnualRate/12</t>
      </text>
    </comment>
    <comment ref="E44" authorId="0" shapeId="0">
      <text>
        <t>Loan: BMO 5 T680 Daycabs. Principal = Payment - Interest (capped at opening)</t>
      </text>
    </comment>
    <comment ref="F44" authorId="0" shapeId="0">
      <text>
        <t>Loan: BMO 5 T680 Daycabs. Closing = Opening - Principal</t>
      </text>
    </comment>
    <comment ref="C45" authorId="0" shapeId="0">
      <text>
        <t>Loan: BMO 5 T680 Daycabs, 9368193001. Source: loans.md</t>
      </text>
    </comment>
    <comment ref="D45" authorId="0" shapeId="0">
      <text>
        <t>Loan: BMO 5 T680 Daycabs. Interest = Opening * AnnualRate/12</t>
      </text>
    </comment>
    <comment ref="E45" authorId="0" shapeId="0">
      <text>
        <t>Loan: BMO 5 T680 Daycabs. Principal = Payment - Interest (capped at opening)</t>
      </text>
    </comment>
    <comment ref="F45" authorId="0" shapeId="0">
      <text>
        <t>Loan: BMO 5 T680 Daycabs. Closing = Opening - Principal</t>
      </text>
    </comment>
    <comment ref="C46" authorId="0" shapeId="0">
      <text>
        <t>Loan: BMO 5 T680 Daycabs, 9368193001. Source: loans.md</t>
      </text>
    </comment>
    <comment ref="D46" authorId="0" shapeId="0">
      <text>
        <t>Loan: BMO 5 T680 Daycabs. Interest = Opening * AnnualRate/12</t>
      </text>
    </comment>
    <comment ref="E46" authorId="0" shapeId="0">
      <text>
        <t>Loan: BMO 5 T680 Daycabs. Principal = Payment - Interest (capped at opening)</t>
      </text>
    </comment>
    <comment ref="F46" authorId="0" shapeId="0">
      <text>
        <t>Loan: BMO 5 T680 Daycabs. Closing = Opening - Principal</t>
      </text>
    </comment>
    <comment ref="C47" authorId="0" shapeId="0">
      <text>
        <t>Loan: BMO 5 T680 Daycabs, 9368193001. Source: loans.md</t>
      </text>
    </comment>
    <comment ref="D47" authorId="0" shapeId="0">
      <text>
        <t>Loan: BMO 5 T680 Daycabs. Interest = Opening * AnnualRate/12</t>
      </text>
    </comment>
    <comment ref="E47" authorId="0" shapeId="0">
      <text>
        <t>Loan: BMO 5 T680 Daycabs. Principal = Payment - Interest (capped at opening)</t>
      </text>
    </comment>
    <comment ref="F47" authorId="0" shapeId="0">
      <text>
        <t>Loan: BMO 5 T680 Daycabs. Closing = Opening - Principal</t>
      </text>
    </comment>
    <comment ref="C48" authorId="0" shapeId="0">
      <text>
        <t>Loan: BMO 5 T680 Daycabs, 9368193001. Source: loans.md</t>
      </text>
    </comment>
    <comment ref="D48" authorId="0" shapeId="0">
      <text>
        <t>Loan: BMO 5 T680 Daycabs. Interest = Opening * AnnualRate/12</t>
      </text>
    </comment>
    <comment ref="E48" authorId="0" shapeId="0">
      <text>
        <t>Loan: BMO 5 T680 Daycabs. Principal = Payment - Interest (capped at opening)</t>
      </text>
    </comment>
    <comment ref="F48" authorId="0" shapeId="0">
      <text>
        <t>Loan: BMO 5 T680 Daycabs. Closing = Opening - Principal</t>
      </text>
    </comment>
    <comment ref="C49" authorId="0" shapeId="0">
      <text>
        <t>Loan: BMO 5 T680 Daycabs, 9368193001. Source: loans.md</t>
      </text>
    </comment>
    <comment ref="D49" authorId="0" shapeId="0">
      <text>
        <t>Loan: BMO 5 T680 Daycabs. Interest = Opening * AnnualRate/12</t>
      </text>
    </comment>
    <comment ref="E49" authorId="0" shapeId="0">
      <text>
        <t>Loan: BMO 5 T680 Daycabs. Principal = Payment - Interest (capped at opening)</t>
      </text>
    </comment>
    <comment ref="F49" authorId="0" shapeId="0">
      <text>
        <t>Loan: BMO 5 T680 Daycabs. Closing = Opening - Principal</t>
      </text>
    </comment>
    <comment ref="C50" authorId="0" shapeId="0">
      <text>
        <t>Loan: BMO 5 T680 Daycabs, 9368193001. Source: loans.md</t>
      </text>
    </comment>
    <comment ref="D50" authorId="0" shapeId="0">
      <text>
        <t>Loan: BMO 5 T680 Daycabs. Interest = Opening * AnnualRate/12</t>
      </text>
    </comment>
    <comment ref="E50" authorId="0" shapeId="0">
      <text>
        <t>Loan: BMO 5 T680 Daycabs. Principal = Payment - Interest (capped at opening)</t>
      </text>
    </comment>
    <comment ref="F50" authorId="0" shapeId="0">
      <text>
        <t>Loan: BMO 5 T680 Daycabs. Closing = Opening - Principal</t>
      </text>
    </comment>
    <comment ref="C51" authorId="0" shapeId="0">
      <text>
        <t>Loan: BMO 5 T680 Daycabs, 9368193001. Source: loans.md</t>
      </text>
    </comment>
    <comment ref="D51" authorId="0" shapeId="0">
      <text>
        <t>Loan: BMO 5 T680 Daycabs. Interest = Opening * AnnualRate/12</t>
      </text>
    </comment>
    <comment ref="E51" authorId="0" shapeId="0">
      <text>
        <t>Loan: BMO 5 T680 Daycabs. Principal = Payment - Interest (capped at opening)</t>
      </text>
    </comment>
    <comment ref="F51" authorId="0" shapeId="0">
      <text>
        <t>Loan: BMO 5 T680 Daycabs. Closing = Opening - Principal</t>
      </text>
    </comment>
    <comment ref="C52" authorId="0" shapeId="0">
      <text>
        <t>Loan: BMO 5 T680 Daycabs, 9368193001. Source: loans.md</t>
      </text>
    </comment>
    <comment ref="D52" authorId="0" shapeId="0">
      <text>
        <t>Loan: BMO 5 T680 Daycabs. Interest = Opening * AnnualRate/12</t>
      </text>
    </comment>
    <comment ref="E52" authorId="0" shapeId="0">
      <text>
        <t>Loan: BMO 5 T680 Daycabs. Principal = Payment - Interest (capped at opening)</t>
      </text>
    </comment>
    <comment ref="F52" authorId="0" shapeId="0">
      <text>
        <t>Loan: BMO 5 T680 Daycabs. Closing = Opening - Principal</t>
      </text>
    </comment>
    <comment ref="C53" authorId="0" shapeId="0">
      <text>
        <t>Loan: BMO 5 T680 Daycabs, 9368193001. Source: loans.md</t>
      </text>
    </comment>
    <comment ref="D53" authorId="0" shapeId="0">
      <text>
        <t>Loan: BMO 5 T680 Daycabs. Interest = Opening * AnnualRate/12</t>
      </text>
    </comment>
    <comment ref="E53" authorId="0" shapeId="0">
      <text>
        <t>Loan: BMO 5 T680 Daycabs. Principal = Payment - Interest (capped at opening)</t>
      </text>
    </comment>
    <comment ref="F53" authorId="0" shapeId="0">
      <text>
        <t>Loan: BMO 5 T680 Daycabs. Closing = Opening - Principal</t>
      </text>
    </comment>
    <comment ref="C54" authorId="0" shapeId="0">
      <text>
        <t>Loan: BMO 5 T680 Daycabs, 9368193001. Source: loans.md</t>
      </text>
    </comment>
    <comment ref="D54" authorId="0" shapeId="0">
      <text>
        <t>Loan: BMO 5 T680 Daycabs. Interest = Opening * AnnualRate/12</t>
      </text>
    </comment>
    <comment ref="E54" authorId="0" shapeId="0">
      <text>
        <t>Loan: BMO 5 T680 Daycabs. Principal = Payment - Interest (capped at opening)</t>
      </text>
    </comment>
    <comment ref="F54" authorId="0" shapeId="0">
      <text>
        <t>Loan: BMO 5 T680 Daycabs. Closing = Opening - Principal</t>
      </text>
    </comment>
    <comment ref="C55" authorId="0" shapeId="0">
      <text>
        <t>Loan: BMO 5 T680 Daycabs, 9368193001. Source: loans.md</t>
      </text>
    </comment>
    <comment ref="D55" authorId="0" shapeId="0">
      <text>
        <t>Loan: BMO 5 T680 Daycabs. Interest = Opening * AnnualRate/12</t>
      </text>
    </comment>
    <comment ref="E55" authorId="0" shapeId="0">
      <text>
        <t>Loan: BMO 5 T680 Daycabs. Principal = Payment - Interest (capped at opening)</t>
      </text>
    </comment>
    <comment ref="F55" authorId="0" shapeId="0">
      <text>
        <t>Loan: BMO 5 T680 Daycabs. Closing = Opening - Principal</t>
      </text>
    </comment>
    <comment ref="C56" authorId="0" shapeId="0">
      <text>
        <t>Loan: BMO 5 T680 Daycabs, 9368193001. Source: loans.md</t>
      </text>
    </comment>
    <comment ref="D56" authorId="0" shapeId="0">
      <text>
        <t>Loan: BMO 5 T680 Daycabs. Interest = Opening * AnnualRate/12</t>
      </text>
    </comment>
    <comment ref="E56" authorId="0" shapeId="0">
      <text>
        <t>Loan: BMO 5 T680 Daycabs. Principal = Payment - Interest (capped at opening)</t>
      </text>
    </comment>
    <comment ref="F56" authorId="0" shapeId="0">
      <text>
        <t>Loan: BMO 5 T680 Daycabs. Closing = Opening - Principal</t>
      </text>
    </comment>
    <comment ref="C57" authorId="0" shapeId="0">
      <text>
        <t>Loan: BMO 5 T680 Daycabs, 9368193001. Source: loans.md</t>
      </text>
    </comment>
    <comment ref="D57" authorId="0" shapeId="0">
      <text>
        <t>Loan: BMO 5 T680 Daycabs. Interest = Opening * AnnualRate/12</t>
      </text>
    </comment>
    <comment ref="E57" authorId="0" shapeId="0">
      <text>
        <t>Loan: BMO 5 T680 Daycabs. Principal = Payment - Interest (capped at opening)</t>
      </text>
    </comment>
    <comment ref="F57" authorId="0" shapeId="0">
      <text>
        <t>Loan: BMO 5 T680 Daycabs. Closing = Opening - Principal</t>
      </text>
    </comment>
    <comment ref="C58" authorId="0" shapeId="0">
      <text>
        <t>Loan: BMO 5 T680 Daycabs, 9368193001. Source: loans.md</t>
      </text>
    </comment>
    <comment ref="D58" authorId="0" shapeId="0">
      <text>
        <t>Loan: BMO 5 T680 Daycabs. Interest = Opening * AnnualRate/12</t>
      </text>
    </comment>
    <comment ref="E58" authorId="0" shapeId="0">
      <text>
        <t>Loan: BMO 5 T680 Daycabs. Principal = Payment - Interest (capped at opening)</t>
      </text>
    </comment>
    <comment ref="F58" authorId="0" shapeId="0">
      <text>
        <t>Loan: BMO 5 T680 Daycabs. Closing = Opening - Principal</t>
      </text>
    </comment>
    <comment ref="C62" authorId="0" shapeId="0">
      <text>
        <t>Sum of rows 23: Opening balance for 2026</t>
      </text>
    </comment>
    <comment ref="D62" authorId="0" shapeId="0">
      <text>
        <t>Sum of rows 23-34: Total interest for 2026</t>
      </text>
    </comment>
    <comment ref="E62" authorId="0" shapeId="0">
      <text>
        <t>Sum of rows 23-34: Total principal for 2026</t>
      </text>
    </comment>
    <comment ref="F62" authorId="0" shapeId="0">
      <text>
        <t>Row 34: Ending balance for 2026</t>
      </text>
    </comment>
    <comment ref="C63" authorId="0" shapeId="0">
      <text>
        <t>Sum of rows 35: Opening balance for 2027</t>
      </text>
    </comment>
    <comment ref="D63" authorId="0" shapeId="0">
      <text>
        <t>Sum of rows 35-46: Total interest for 2027</t>
      </text>
    </comment>
    <comment ref="E63" authorId="0" shapeId="0">
      <text>
        <t>Sum of rows 35-46: Total principal for 2027</t>
      </text>
    </comment>
    <comment ref="F63" authorId="0" shapeId="0">
      <text>
        <t>Row 46: Ending balance for 2027</t>
      </text>
    </comment>
    <comment ref="C64" authorId="0" shapeId="0">
      <text>
        <t>Sum of rows 47: Opening balance for 2028</t>
      </text>
    </comment>
    <comment ref="D64" authorId="0" shapeId="0">
      <text>
        <t>Sum of rows 47-58: Total interest for 2028</t>
      </text>
    </comment>
    <comment ref="E64" authorId="0" shapeId="0">
      <text>
        <t>Sum of rows 47-58: Total principal for 2028</t>
      </text>
    </comment>
    <comment ref="F64" authorId="0" shapeId="0">
      <text>
        <t>Row 58: Ending balance for 2028</t>
      </text>
    </comment>
  </commentList>
</comments>
</file>

<file path=xl/comments/comment61.xml><?xml version="1.0" encoding="utf-8"?>
<comments xmlns="http://schemas.openxmlformats.org/spreadsheetml/2006/main">
  <authors>
    <author>Model Builder</author>
  </authors>
  <commentList>
    <comment ref="B6" authorId="0" shapeId="0">
      <text>
        <t>Source: loans.md - BMO Loan 9368279001
Balance as of 12/31/2025</t>
      </text>
    </comment>
    <comment ref="B7" authorId="0" shapeId="0">
      <text>
        <t>Source: loans.md - BMO Loan 9368279001
Fixed rate per loan agreement</t>
      </text>
    </comment>
    <comment ref="B8" authorId="0" shapeId="0">
      <text>
        <t>Source: loans.md - BMO Loan 9368279001
Fixed monthly payment</t>
      </text>
    </comment>
    <comment ref="C23" authorId="0" shapeId="0">
      <text>
        <t>Loan: BMO 1 Peterbilt 579, 9368279001. Source: loans.md</t>
      </text>
    </comment>
    <comment ref="D23" authorId="0" shapeId="0">
      <text>
        <t>Loan: BMO 1 Peterbilt 579. Interest = Opening * AnnualRate/12</t>
      </text>
    </comment>
    <comment ref="E23" authorId="0" shapeId="0">
      <text>
        <t>Loan: BMO 1 Peterbilt 579. Principal = Payment - Interest (capped at opening)</t>
      </text>
    </comment>
    <comment ref="F23" authorId="0" shapeId="0">
      <text>
        <t>Loan: BMO 1 Peterbilt 579. Closing = Opening - Principal</t>
      </text>
    </comment>
    <comment ref="C24" authorId="0" shapeId="0">
      <text>
        <t>Loan: BMO 1 Peterbilt 579, 9368279001. Source: loans.md</t>
      </text>
    </comment>
    <comment ref="D24" authorId="0" shapeId="0">
      <text>
        <t>Loan: BMO 1 Peterbilt 579. Interest = Opening * AnnualRate/12</t>
      </text>
    </comment>
    <comment ref="E24" authorId="0" shapeId="0">
      <text>
        <t>Loan: BMO 1 Peterbilt 579. Principal = Payment - Interest (capped at opening)</t>
      </text>
    </comment>
    <comment ref="F24" authorId="0" shapeId="0">
      <text>
        <t>Loan: BMO 1 Peterbilt 579. Closing = Opening - Principal</t>
      </text>
    </comment>
    <comment ref="C25" authorId="0" shapeId="0">
      <text>
        <t>Loan: BMO 1 Peterbilt 579, 9368279001. Source: loans.md</t>
      </text>
    </comment>
    <comment ref="D25" authorId="0" shapeId="0">
      <text>
        <t>Loan: BMO 1 Peterbilt 579. Interest = Opening * AnnualRate/12</t>
      </text>
    </comment>
    <comment ref="E25" authorId="0" shapeId="0">
      <text>
        <t>Loan: BMO 1 Peterbilt 579. Principal = Payment - Interest (capped at opening)</t>
      </text>
    </comment>
    <comment ref="F25" authorId="0" shapeId="0">
      <text>
        <t>Loan: BMO 1 Peterbilt 579. Closing = Opening - Principal</t>
      </text>
    </comment>
    <comment ref="C26" authorId="0" shapeId="0">
      <text>
        <t>Loan: BMO 1 Peterbilt 579, 9368279001. Source: loans.md</t>
      </text>
    </comment>
    <comment ref="D26" authorId="0" shapeId="0">
      <text>
        <t>Loan: BMO 1 Peterbilt 579. Interest = Opening * AnnualRate/12</t>
      </text>
    </comment>
    <comment ref="E26" authorId="0" shapeId="0">
      <text>
        <t>Loan: BMO 1 Peterbilt 579. Principal = Payment - Interest (capped at opening)</t>
      </text>
    </comment>
    <comment ref="F26" authorId="0" shapeId="0">
      <text>
        <t>Loan: BMO 1 Peterbilt 579. Closing = Opening - Principal</t>
      </text>
    </comment>
    <comment ref="C27" authorId="0" shapeId="0">
      <text>
        <t>Loan: BMO 1 Peterbilt 579, 9368279001. Source: loans.md</t>
      </text>
    </comment>
    <comment ref="D27" authorId="0" shapeId="0">
      <text>
        <t>Loan: BMO 1 Peterbilt 579. Interest = Opening * AnnualRate/12</t>
      </text>
    </comment>
    <comment ref="E27" authorId="0" shapeId="0">
      <text>
        <t>Loan: BMO 1 Peterbilt 579. Principal = Payment - Interest (capped at opening)</t>
      </text>
    </comment>
    <comment ref="F27" authorId="0" shapeId="0">
      <text>
        <t>Loan: BMO 1 Peterbilt 579. Closing = Opening - Principal</t>
      </text>
    </comment>
    <comment ref="C28" authorId="0" shapeId="0">
      <text>
        <t>Loan: BMO 1 Peterbilt 579, 9368279001. Source: loans.md</t>
      </text>
    </comment>
    <comment ref="D28" authorId="0" shapeId="0">
      <text>
        <t>Loan: BMO 1 Peterbilt 579. Interest = Opening * AnnualRate/12</t>
      </text>
    </comment>
    <comment ref="E28" authorId="0" shapeId="0">
      <text>
        <t>Loan: BMO 1 Peterbilt 579. Principal = Payment - Interest (capped at opening)</t>
      </text>
    </comment>
    <comment ref="F28" authorId="0" shapeId="0">
      <text>
        <t>Loan: BMO 1 Peterbilt 579. Closing = Opening - Principal</t>
      </text>
    </comment>
    <comment ref="C29" authorId="0" shapeId="0">
      <text>
        <t>Loan: BMO 1 Peterbilt 579, 9368279001. Source: loans.md</t>
      </text>
    </comment>
    <comment ref="D29" authorId="0" shapeId="0">
      <text>
        <t>Loan: BMO 1 Peterbilt 579. Interest = Opening * AnnualRate/12</t>
      </text>
    </comment>
    <comment ref="E29" authorId="0" shapeId="0">
      <text>
        <t>Loan: BMO 1 Peterbilt 579. Principal = Payment - Interest (capped at opening)</t>
      </text>
    </comment>
    <comment ref="F29" authorId="0" shapeId="0">
      <text>
        <t>Loan: BMO 1 Peterbilt 579. Closing = Opening - Principal</t>
      </text>
    </comment>
    <comment ref="C30" authorId="0" shapeId="0">
      <text>
        <t>Loan: BMO 1 Peterbilt 579, 9368279001. Source: loans.md</t>
      </text>
    </comment>
    <comment ref="D30" authorId="0" shapeId="0">
      <text>
        <t>Loan: BMO 1 Peterbilt 579. Interest = Opening * AnnualRate/12</t>
      </text>
    </comment>
    <comment ref="E30" authorId="0" shapeId="0">
      <text>
        <t>Loan: BMO 1 Peterbilt 579. Principal = Payment - Interest (capped at opening)</t>
      </text>
    </comment>
    <comment ref="F30" authorId="0" shapeId="0">
      <text>
        <t>Loan: BMO 1 Peterbilt 579. Closing = Opening - Principal</t>
      </text>
    </comment>
    <comment ref="C31" authorId="0" shapeId="0">
      <text>
        <t>Loan: BMO 1 Peterbilt 579, 9368279001. Source: loans.md</t>
      </text>
    </comment>
    <comment ref="D31" authorId="0" shapeId="0">
      <text>
        <t>Loan: BMO 1 Peterbilt 579. Interest = Opening * AnnualRate/12</t>
      </text>
    </comment>
    <comment ref="E31" authorId="0" shapeId="0">
      <text>
        <t>Loan: BMO 1 Peterbilt 579. Principal = Payment - Interest (capped at opening)</t>
      </text>
    </comment>
    <comment ref="F31" authorId="0" shapeId="0">
      <text>
        <t>Loan: BMO 1 Peterbilt 579. Closing = Opening - Principal</t>
      </text>
    </comment>
    <comment ref="C32" authorId="0" shapeId="0">
      <text>
        <t>Loan: BMO 1 Peterbilt 579, 9368279001. Source: loans.md</t>
      </text>
    </comment>
    <comment ref="D32" authorId="0" shapeId="0">
      <text>
        <t>Loan: BMO 1 Peterbilt 579. Interest = Opening * AnnualRate/12</t>
      </text>
    </comment>
    <comment ref="E32" authorId="0" shapeId="0">
      <text>
        <t>Loan: BMO 1 Peterbilt 579. Principal = Payment - Interest (capped at opening)</t>
      </text>
    </comment>
    <comment ref="F32" authorId="0" shapeId="0">
      <text>
        <t>Loan: BMO 1 Peterbilt 579. Closing = Opening - Principal</t>
      </text>
    </comment>
    <comment ref="C33" authorId="0" shapeId="0">
      <text>
        <t>Loan: BMO 1 Peterbilt 579, 9368279001. Source: loans.md</t>
      </text>
    </comment>
    <comment ref="D33" authorId="0" shapeId="0">
      <text>
        <t>Loan: BMO 1 Peterbilt 579. Interest = Opening * AnnualRate/12</t>
      </text>
    </comment>
    <comment ref="E33" authorId="0" shapeId="0">
      <text>
        <t>Loan: BMO 1 Peterbilt 579. Principal = Payment - Interest (capped at opening)</t>
      </text>
    </comment>
    <comment ref="F33" authorId="0" shapeId="0">
      <text>
        <t>Loan: BMO 1 Peterbilt 579. Closing = Opening - Principal</t>
      </text>
    </comment>
    <comment ref="C34" authorId="0" shapeId="0">
      <text>
        <t>Loan: BMO 1 Peterbilt 579, 9368279001. Source: loans.md</t>
      </text>
    </comment>
    <comment ref="D34" authorId="0" shapeId="0">
      <text>
        <t>Loan: BMO 1 Peterbilt 579. Interest = Opening * AnnualRate/12</t>
      </text>
    </comment>
    <comment ref="E34" authorId="0" shapeId="0">
      <text>
        <t>Loan: BMO 1 Peterbilt 579. Principal = Payment - Interest (capped at opening)</t>
      </text>
    </comment>
    <comment ref="F34" authorId="0" shapeId="0">
      <text>
        <t>Loan: BMO 1 Peterbilt 579. Closing = Opening - Principal</t>
      </text>
    </comment>
    <comment ref="C35" authorId="0" shapeId="0">
      <text>
        <t>Loan: BMO 1 Peterbilt 579, 9368279001. Source: loans.md</t>
      </text>
    </comment>
    <comment ref="D35" authorId="0" shapeId="0">
      <text>
        <t>Loan: BMO 1 Peterbilt 579. Interest = Opening * AnnualRate/12</t>
      </text>
    </comment>
    <comment ref="E35" authorId="0" shapeId="0">
      <text>
        <t>Loan: BMO 1 Peterbilt 579. Principal = Payment - Interest (capped at opening)</t>
      </text>
    </comment>
    <comment ref="F35" authorId="0" shapeId="0">
      <text>
        <t>Loan: BMO 1 Peterbilt 579. Closing = Opening - Principal</t>
      </text>
    </comment>
    <comment ref="C36" authorId="0" shapeId="0">
      <text>
        <t>Loan: BMO 1 Peterbilt 579, 9368279001. Source: loans.md</t>
      </text>
    </comment>
    <comment ref="D36" authorId="0" shapeId="0">
      <text>
        <t>Loan: BMO 1 Peterbilt 579. Interest = Opening * AnnualRate/12</t>
      </text>
    </comment>
    <comment ref="E36" authorId="0" shapeId="0">
      <text>
        <t>Loan: BMO 1 Peterbilt 579. Principal = Payment - Interest (capped at opening)</t>
      </text>
    </comment>
    <comment ref="F36" authorId="0" shapeId="0">
      <text>
        <t>Loan: BMO 1 Peterbilt 579. Closing = Opening - Principal</t>
      </text>
    </comment>
    <comment ref="C37" authorId="0" shapeId="0">
      <text>
        <t>Loan: BMO 1 Peterbilt 579, 9368279001. Source: loans.md</t>
      </text>
    </comment>
    <comment ref="D37" authorId="0" shapeId="0">
      <text>
        <t>Loan: BMO 1 Peterbilt 579. Interest = Opening * AnnualRate/12</t>
      </text>
    </comment>
    <comment ref="E37" authorId="0" shapeId="0">
      <text>
        <t>Loan: BMO 1 Peterbilt 579. Principal = Payment - Interest (capped at opening)</t>
      </text>
    </comment>
    <comment ref="F37" authorId="0" shapeId="0">
      <text>
        <t>Loan: BMO 1 Peterbilt 579. Closing = Opening - Principal</t>
      </text>
    </comment>
    <comment ref="C38" authorId="0" shapeId="0">
      <text>
        <t>Loan: BMO 1 Peterbilt 579, 9368279001. Source: loans.md</t>
      </text>
    </comment>
    <comment ref="D38" authorId="0" shapeId="0">
      <text>
        <t>Loan: BMO 1 Peterbilt 579. Interest = Opening * AnnualRate/12</t>
      </text>
    </comment>
    <comment ref="E38" authorId="0" shapeId="0">
      <text>
        <t>Loan: BMO 1 Peterbilt 579. Principal = Payment - Interest (capped at opening)</t>
      </text>
    </comment>
    <comment ref="F38" authorId="0" shapeId="0">
      <text>
        <t>Loan: BMO 1 Peterbilt 579. Closing = Opening - Principal</t>
      </text>
    </comment>
    <comment ref="C39" authorId="0" shapeId="0">
      <text>
        <t>Loan: BMO 1 Peterbilt 579, 9368279001. Source: loans.md</t>
      </text>
    </comment>
    <comment ref="D39" authorId="0" shapeId="0">
      <text>
        <t>Loan: BMO 1 Peterbilt 579. Interest = Opening * AnnualRate/12</t>
      </text>
    </comment>
    <comment ref="E39" authorId="0" shapeId="0">
      <text>
        <t>Loan: BMO 1 Peterbilt 579. Principal = Payment - Interest (capped at opening)</t>
      </text>
    </comment>
    <comment ref="F39" authorId="0" shapeId="0">
      <text>
        <t>Loan: BMO 1 Peterbilt 579. Closing = Opening - Principal</t>
      </text>
    </comment>
    <comment ref="C40" authorId="0" shapeId="0">
      <text>
        <t>Loan: BMO 1 Peterbilt 579, 9368279001. Source: loans.md</t>
      </text>
    </comment>
    <comment ref="D40" authorId="0" shapeId="0">
      <text>
        <t>Loan: BMO 1 Peterbilt 579. Interest = Opening * AnnualRate/12</t>
      </text>
    </comment>
    <comment ref="E40" authorId="0" shapeId="0">
      <text>
        <t>Loan: BMO 1 Peterbilt 579. Principal = Payment - Interest (capped at opening)</t>
      </text>
    </comment>
    <comment ref="F40" authorId="0" shapeId="0">
      <text>
        <t>Loan: BMO 1 Peterbilt 579. Closing = Opening - Principal</t>
      </text>
    </comment>
    <comment ref="C41" authorId="0" shapeId="0">
      <text>
        <t>Loan: BMO 1 Peterbilt 579, 9368279001. Source: loans.md</t>
      </text>
    </comment>
    <comment ref="D41" authorId="0" shapeId="0">
      <text>
        <t>Loan: BMO 1 Peterbilt 579. Interest = Opening * AnnualRate/12</t>
      </text>
    </comment>
    <comment ref="E41" authorId="0" shapeId="0">
      <text>
        <t>Loan: BMO 1 Peterbilt 579. Principal = Payment - Interest (capped at opening)</t>
      </text>
    </comment>
    <comment ref="F41" authorId="0" shapeId="0">
      <text>
        <t>Loan: BMO 1 Peterbilt 579. Closing = Opening - Principal</t>
      </text>
    </comment>
    <comment ref="C42" authorId="0" shapeId="0">
      <text>
        <t>Loan: BMO 1 Peterbilt 579, 9368279001. Source: loans.md</t>
      </text>
    </comment>
    <comment ref="D42" authorId="0" shapeId="0">
      <text>
        <t>Loan: BMO 1 Peterbilt 579. Interest = Opening * AnnualRate/12</t>
      </text>
    </comment>
    <comment ref="E42" authorId="0" shapeId="0">
      <text>
        <t>Loan: BMO 1 Peterbilt 579. Principal = Payment - Interest (capped at opening)</t>
      </text>
    </comment>
    <comment ref="F42" authorId="0" shapeId="0">
      <text>
        <t>Loan: BMO 1 Peterbilt 579. Closing = Opening - Principal</t>
      </text>
    </comment>
    <comment ref="C43" authorId="0" shapeId="0">
      <text>
        <t>Loan: BMO 1 Peterbilt 579, 9368279001. Source: loans.md</t>
      </text>
    </comment>
    <comment ref="D43" authorId="0" shapeId="0">
      <text>
        <t>Loan: BMO 1 Peterbilt 579. Interest = Opening * AnnualRate/12</t>
      </text>
    </comment>
    <comment ref="E43" authorId="0" shapeId="0">
      <text>
        <t>Loan: BMO 1 Peterbilt 579. Principal = Payment - Interest (capped at opening)</t>
      </text>
    </comment>
    <comment ref="F43" authorId="0" shapeId="0">
      <text>
        <t>Loan: BMO 1 Peterbilt 579. Closing = Opening - Principal</t>
      </text>
    </comment>
    <comment ref="C44" authorId="0" shapeId="0">
      <text>
        <t>Loan: BMO 1 Peterbilt 579, 9368279001. Source: loans.md</t>
      </text>
    </comment>
    <comment ref="D44" authorId="0" shapeId="0">
      <text>
        <t>Loan: BMO 1 Peterbilt 579. Interest = Opening * AnnualRate/12</t>
      </text>
    </comment>
    <comment ref="E44" authorId="0" shapeId="0">
      <text>
        <t>Loan: BMO 1 Peterbilt 579. Principal = Payment - Interest (capped at opening)</t>
      </text>
    </comment>
    <comment ref="F44" authorId="0" shapeId="0">
      <text>
        <t>Loan: BMO 1 Peterbilt 579. Closing = Opening - Principal</t>
      </text>
    </comment>
    <comment ref="C45" authorId="0" shapeId="0">
      <text>
        <t>Loan: BMO 1 Peterbilt 579, 9368279001. Source: loans.md</t>
      </text>
    </comment>
    <comment ref="D45" authorId="0" shapeId="0">
      <text>
        <t>Loan: BMO 1 Peterbilt 579. Interest = Opening * AnnualRate/12</t>
      </text>
    </comment>
    <comment ref="E45" authorId="0" shapeId="0">
      <text>
        <t>Loan: BMO 1 Peterbilt 579. Principal = Payment - Interest (capped at opening)</t>
      </text>
    </comment>
    <comment ref="F45" authorId="0" shapeId="0">
      <text>
        <t>Loan: BMO 1 Peterbilt 579. Closing = Opening - Principal</t>
      </text>
    </comment>
    <comment ref="C46" authorId="0" shapeId="0">
      <text>
        <t>Loan: BMO 1 Peterbilt 579, 9368279001. Source: loans.md</t>
      </text>
    </comment>
    <comment ref="D46" authorId="0" shapeId="0">
      <text>
        <t>Loan: BMO 1 Peterbilt 579. Interest = Opening * AnnualRate/12</t>
      </text>
    </comment>
    <comment ref="E46" authorId="0" shapeId="0">
      <text>
        <t>Loan: BMO 1 Peterbilt 579. Principal = Payment - Interest (capped at opening)</t>
      </text>
    </comment>
    <comment ref="F46" authorId="0" shapeId="0">
      <text>
        <t>Loan: BMO 1 Peterbilt 579. Closing = Opening - Principal</t>
      </text>
    </comment>
    <comment ref="C47" authorId="0" shapeId="0">
      <text>
        <t>Loan: BMO 1 Peterbilt 579, 9368279001. Source: loans.md</t>
      </text>
    </comment>
    <comment ref="D47" authorId="0" shapeId="0">
      <text>
        <t>Loan: BMO 1 Peterbilt 579. Interest = Opening * AnnualRate/12</t>
      </text>
    </comment>
    <comment ref="E47" authorId="0" shapeId="0">
      <text>
        <t>Loan: BMO 1 Peterbilt 579. Principal = Payment - Interest (capped at opening)</t>
      </text>
    </comment>
    <comment ref="F47" authorId="0" shapeId="0">
      <text>
        <t>Loan: BMO 1 Peterbilt 579. Closing = Opening - Principal</t>
      </text>
    </comment>
    <comment ref="C48" authorId="0" shapeId="0">
      <text>
        <t>Loan: BMO 1 Peterbilt 579, 9368279001. Source: loans.md</t>
      </text>
    </comment>
    <comment ref="D48" authorId="0" shapeId="0">
      <text>
        <t>Loan: BMO 1 Peterbilt 579. Interest = Opening * AnnualRate/12</t>
      </text>
    </comment>
    <comment ref="E48" authorId="0" shapeId="0">
      <text>
        <t>Loan: BMO 1 Peterbilt 579. Principal = Payment - Interest (capped at opening)</t>
      </text>
    </comment>
    <comment ref="F48" authorId="0" shapeId="0">
      <text>
        <t>Loan: BMO 1 Peterbilt 579. Closing = Opening - Principal</t>
      </text>
    </comment>
    <comment ref="C49" authorId="0" shapeId="0">
      <text>
        <t>Loan: BMO 1 Peterbilt 579, 9368279001. Source: loans.md</t>
      </text>
    </comment>
    <comment ref="D49" authorId="0" shapeId="0">
      <text>
        <t>Loan: BMO 1 Peterbilt 579. Interest = Opening * AnnualRate/12</t>
      </text>
    </comment>
    <comment ref="E49" authorId="0" shapeId="0">
      <text>
        <t>Loan: BMO 1 Peterbilt 579. Principal = Payment - Interest (capped at opening)</t>
      </text>
    </comment>
    <comment ref="F49" authorId="0" shapeId="0">
      <text>
        <t>Loan: BMO 1 Peterbilt 579. Closing = Opening - Principal</t>
      </text>
    </comment>
    <comment ref="C50" authorId="0" shapeId="0">
      <text>
        <t>Loan: BMO 1 Peterbilt 579, 9368279001. Source: loans.md</t>
      </text>
    </comment>
    <comment ref="D50" authorId="0" shapeId="0">
      <text>
        <t>Loan: BMO 1 Peterbilt 579. Interest = Opening * AnnualRate/12</t>
      </text>
    </comment>
    <comment ref="E50" authorId="0" shapeId="0">
      <text>
        <t>Loan: BMO 1 Peterbilt 579. Principal = Payment - Interest (capped at opening)</t>
      </text>
    </comment>
    <comment ref="F50" authorId="0" shapeId="0">
      <text>
        <t>Loan: BMO 1 Peterbilt 579. Closing = Opening - Principal</t>
      </text>
    </comment>
    <comment ref="C51" authorId="0" shapeId="0">
      <text>
        <t>Loan: BMO 1 Peterbilt 579, 9368279001. Source: loans.md</t>
      </text>
    </comment>
    <comment ref="D51" authorId="0" shapeId="0">
      <text>
        <t>Loan: BMO 1 Peterbilt 579. Interest = Opening * AnnualRate/12</t>
      </text>
    </comment>
    <comment ref="E51" authorId="0" shapeId="0">
      <text>
        <t>Loan: BMO 1 Peterbilt 579. Principal = Payment - Interest (capped at opening)</t>
      </text>
    </comment>
    <comment ref="F51" authorId="0" shapeId="0">
      <text>
        <t>Loan: BMO 1 Peterbilt 579. Closing = Opening - Principal</t>
      </text>
    </comment>
    <comment ref="C52" authorId="0" shapeId="0">
      <text>
        <t>Loan: BMO 1 Peterbilt 579, 9368279001. Source: loans.md</t>
      </text>
    </comment>
    <comment ref="D52" authorId="0" shapeId="0">
      <text>
        <t>Loan: BMO 1 Peterbilt 579. Interest = Opening * AnnualRate/12</t>
      </text>
    </comment>
    <comment ref="E52" authorId="0" shapeId="0">
      <text>
        <t>Loan: BMO 1 Peterbilt 579. Principal = Payment - Interest (capped at opening)</t>
      </text>
    </comment>
    <comment ref="F52" authorId="0" shapeId="0">
      <text>
        <t>Loan: BMO 1 Peterbilt 579. Closing = Opening - Principal</t>
      </text>
    </comment>
    <comment ref="C53" authorId="0" shapeId="0">
      <text>
        <t>Loan: BMO 1 Peterbilt 579, 9368279001. Source: loans.md</t>
      </text>
    </comment>
    <comment ref="D53" authorId="0" shapeId="0">
      <text>
        <t>Loan: BMO 1 Peterbilt 579. Interest = Opening * AnnualRate/12</t>
      </text>
    </comment>
    <comment ref="E53" authorId="0" shapeId="0">
      <text>
        <t>Loan: BMO 1 Peterbilt 579. Principal = Payment - Interest (capped at opening)</t>
      </text>
    </comment>
    <comment ref="F53" authorId="0" shapeId="0">
      <text>
        <t>Loan: BMO 1 Peterbilt 579. Closing = Opening - Principal</t>
      </text>
    </comment>
    <comment ref="C54" authorId="0" shapeId="0">
      <text>
        <t>Loan: BMO 1 Peterbilt 579, 9368279001. Source: loans.md</t>
      </text>
    </comment>
    <comment ref="D54" authorId="0" shapeId="0">
      <text>
        <t>Loan: BMO 1 Peterbilt 579. Interest = Opening * AnnualRate/12</t>
      </text>
    </comment>
    <comment ref="E54" authorId="0" shapeId="0">
      <text>
        <t>Loan: BMO 1 Peterbilt 579. Principal = Payment - Interest (capped at opening)</t>
      </text>
    </comment>
    <comment ref="F54" authorId="0" shapeId="0">
      <text>
        <t>Loan: BMO 1 Peterbilt 579. Closing = Opening - Principal</t>
      </text>
    </comment>
    <comment ref="C55" authorId="0" shapeId="0">
      <text>
        <t>Loan: BMO 1 Peterbilt 579, 9368279001. Source: loans.md</t>
      </text>
    </comment>
    <comment ref="D55" authorId="0" shapeId="0">
      <text>
        <t>Loan: BMO 1 Peterbilt 579. Interest = Opening * AnnualRate/12</t>
      </text>
    </comment>
    <comment ref="E55" authorId="0" shapeId="0">
      <text>
        <t>Loan: BMO 1 Peterbilt 579. Principal = Payment - Interest (capped at opening)</t>
      </text>
    </comment>
    <comment ref="F55" authorId="0" shapeId="0">
      <text>
        <t>Loan: BMO 1 Peterbilt 579. Closing = Opening - Principal</t>
      </text>
    </comment>
    <comment ref="C56" authorId="0" shapeId="0">
      <text>
        <t>Loan: BMO 1 Peterbilt 579, 9368279001. Source: loans.md</t>
      </text>
    </comment>
    <comment ref="D56" authorId="0" shapeId="0">
      <text>
        <t>Loan: BMO 1 Peterbilt 579. Interest = Opening * AnnualRate/12</t>
      </text>
    </comment>
    <comment ref="E56" authorId="0" shapeId="0">
      <text>
        <t>Loan: BMO 1 Peterbilt 579. Principal = Payment - Interest (capped at opening)</t>
      </text>
    </comment>
    <comment ref="F56" authorId="0" shapeId="0">
      <text>
        <t>Loan: BMO 1 Peterbilt 579. Closing = Opening - Principal</t>
      </text>
    </comment>
    <comment ref="C57" authorId="0" shapeId="0">
      <text>
        <t>Loan: BMO 1 Peterbilt 579, 9368279001. Source: loans.md</t>
      </text>
    </comment>
    <comment ref="D57" authorId="0" shapeId="0">
      <text>
        <t>Loan: BMO 1 Peterbilt 579. Interest = Opening * AnnualRate/12</t>
      </text>
    </comment>
    <comment ref="E57" authorId="0" shapeId="0">
      <text>
        <t>Loan: BMO 1 Peterbilt 579. Principal = Payment - Interest (capped at opening)</t>
      </text>
    </comment>
    <comment ref="F57" authorId="0" shapeId="0">
      <text>
        <t>Loan: BMO 1 Peterbilt 579. Closing = Opening - Principal</t>
      </text>
    </comment>
    <comment ref="C58" authorId="0" shapeId="0">
      <text>
        <t>Loan: BMO 1 Peterbilt 579, 9368279001. Source: loans.md</t>
      </text>
    </comment>
    <comment ref="D58" authorId="0" shapeId="0">
      <text>
        <t>Loan: BMO 1 Peterbilt 579. Interest = Opening * AnnualRate/12</t>
      </text>
    </comment>
    <comment ref="E58" authorId="0" shapeId="0">
      <text>
        <t>Loan: BMO 1 Peterbilt 579. Principal = Payment - Interest (capped at opening)</t>
      </text>
    </comment>
    <comment ref="F58" authorId="0" shapeId="0">
      <text>
        <t>Loan: BMO 1 Peterbilt 579. Closing = Opening - Principal</t>
      </text>
    </comment>
    <comment ref="C62" authorId="0" shapeId="0">
      <text>
        <t>Sum of rows 23: Opening balance for 2026</t>
      </text>
    </comment>
    <comment ref="D62" authorId="0" shapeId="0">
      <text>
        <t>Sum of rows 23-34: Total interest for 2026</t>
      </text>
    </comment>
    <comment ref="E62" authorId="0" shapeId="0">
      <text>
        <t>Sum of rows 23-34: Total principal for 2026</t>
      </text>
    </comment>
    <comment ref="F62" authorId="0" shapeId="0">
      <text>
        <t>Row 34: Ending balance for 2026</t>
      </text>
    </comment>
    <comment ref="C63" authorId="0" shapeId="0">
      <text>
        <t>Sum of rows 35: Opening balance for 2027</t>
      </text>
    </comment>
    <comment ref="D63" authorId="0" shapeId="0">
      <text>
        <t>Sum of rows 35-46: Total interest for 2027</t>
      </text>
    </comment>
    <comment ref="E63" authorId="0" shapeId="0">
      <text>
        <t>Sum of rows 35-46: Total principal for 2027</t>
      </text>
    </comment>
    <comment ref="F63" authorId="0" shapeId="0">
      <text>
        <t>Row 46: Ending balance for 2027</t>
      </text>
    </comment>
    <comment ref="C64" authorId="0" shapeId="0">
      <text>
        <t>Sum of rows 47: Opening balance for 2028</t>
      </text>
    </comment>
    <comment ref="D64" authorId="0" shapeId="0">
      <text>
        <t>Sum of rows 47-58: Total interest for 2028</t>
      </text>
    </comment>
    <comment ref="E64" authorId="0" shapeId="0">
      <text>
        <t>Sum of rows 47-58: Total principal for 2028</t>
      </text>
    </comment>
    <comment ref="F64" authorId="0" shapeId="0">
      <text>
        <t>Row 58: Ending balance for 2028</t>
      </text>
    </comment>
  </commentList>
</comments>
</file>

<file path=xl/comments/comment62.xml><?xml version="1.0" encoding="utf-8"?>
<comments xmlns="http://schemas.openxmlformats.org/spreadsheetml/2006/main">
  <authors>
    <author>Model Builder</author>
  </authors>
  <commentList>
    <comment ref="B6" authorId="0" shapeId="0">
      <text>
        <t>Source: loans.md - BMO Loan 9369093001
Balance as of 12/31/2025</t>
      </text>
    </comment>
    <comment ref="B7" authorId="0" shapeId="0">
      <text>
        <t>Source: loans.md - BMO Loan 9369093001
Fixed rate per loan agreement</t>
      </text>
    </comment>
    <comment ref="B8" authorId="0" shapeId="0">
      <text>
        <t>Source: loans.md - BMO Loan 9369093001
Fixed monthly payment</t>
      </text>
    </comment>
    <comment ref="C23" authorId="0" shapeId="0">
      <text>
        <t>Loan: BMO 3 Peterbilt 579s, 9369093001. Source: loans.md</t>
      </text>
    </comment>
    <comment ref="D23" authorId="0" shapeId="0">
      <text>
        <t>Loan: BMO 3 Peterbilt 579s. Interest = Opening * AnnualRate/12</t>
      </text>
    </comment>
    <comment ref="E23" authorId="0" shapeId="0">
      <text>
        <t>Loan: BMO 3 Peterbilt 579s. Principal = Payment - Interest (capped at opening)</t>
      </text>
    </comment>
    <comment ref="F23" authorId="0" shapeId="0">
      <text>
        <t>Loan: BMO 3 Peterbilt 579s. Closing = Opening - Principal</t>
      </text>
    </comment>
    <comment ref="C24" authorId="0" shapeId="0">
      <text>
        <t>Loan: BMO 3 Peterbilt 579s, 9369093001. Source: loans.md</t>
      </text>
    </comment>
    <comment ref="D24" authorId="0" shapeId="0">
      <text>
        <t>Loan: BMO 3 Peterbilt 579s. Interest = Opening * AnnualRate/12</t>
      </text>
    </comment>
    <comment ref="E24" authorId="0" shapeId="0">
      <text>
        <t>Loan: BMO 3 Peterbilt 579s. Principal = Payment - Interest (capped at opening)</t>
      </text>
    </comment>
    <comment ref="F24" authorId="0" shapeId="0">
      <text>
        <t>Loan: BMO 3 Peterbilt 579s. Closing = Opening - Principal</t>
      </text>
    </comment>
    <comment ref="C25" authorId="0" shapeId="0">
      <text>
        <t>Loan: BMO 3 Peterbilt 579s, 9369093001. Source: loans.md</t>
      </text>
    </comment>
    <comment ref="D25" authorId="0" shapeId="0">
      <text>
        <t>Loan: BMO 3 Peterbilt 579s. Interest = Opening * AnnualRate/12</t>
      </text>
    </comment>
    <comment ref="E25" authorId="0" shapeId="0">
      <text>
        <t>Loan: BMO 3 Peterbilt 579s. Principal = Payment - Interest (capped at opening)</t>
      </text>
    </comment>
    <comment ref="F25" authorId="0" shapeId="0">
      <text>
        <t>Loan: BMO 3 Peterbilt 579s. Closing = Opening - Principal</t>
      </text>
    </comment>
    <comment ref="C26" authorId="0" shapeId="0">
      <text>
        <t>Loan: BMO 3 Peterbilt 579s, 9369093001. Source: loans.md</t>
      </text>
    </comment>
    <comment ref="D26" authorId="0" shapeId="0">
      <text>
        <t>Loan: BMO 3 Peterbilt 579s. Interest = Opening * AnnualRate/12</t>
      </text>
    </comment>
    <comment ref="E26" authorId="0" shapeId="0">
      <text>
        <t>Loan: BMO 3 Peterbilt 579s. Principal = Payment - Interest (capped at opening)</t>
      </text>
    </comment>
    <comment ref="F26" authorId="0" shapeId="0">
      <text>
        <t>Loan: BMO 3 Peterbilt 579s. Closing = Opening - Principal</t>
      </text>
    </comment>
    <comment ref="C27" authorId="0" shapeId="0">
      <text>
        <t>Loan: BMO 3 Peterbilt 579s, 9369093001. Source: loans.md</t>
      </text>
    </comment>
    <comment ref="D27" authorId="0" shapeId="0">
      <text>
        <t>Loan: BMO 3 Peterbilt 579s. Interest = Opening * AnnualRate/12</t>
      </text>
    </comment>
    <comment ref="E27" authorId="0" shapeId="0">
      <text>
        <t>Loan: BMO 3 Peterbilt 579s. Principal = Payment - Interest (capped at opening)</t>
      </text>
    </comment>
    <comment ref="F27" authorId="0" shapeId="0">
      <text>
        <t>Loan: BMO 3 Peterbilt 579s. Closing = Opening - Principal</t>
      </text>
    </comment>
    <comment ref="C28" authorId="0" shapeId="0">
      <text>
        <t>Loan: BMO 3 Peterbilt 579s, 9369093001. Source: loans.md</t>
      </text>
    </comment>
    <comment ref="D28" authorId="0" shapeId="0">
      <text>
        <t>Loan: BMO 3 Peterbilt 579s. Interest = Opening * AnnualRate/12</t>
      </text>
    </comment>
    <comment ref="E28" authorId="0" shapeId="0">
      <text>
        <t>Loan: BMO 3 Peterbilt 579s. Principal = Payment - Interest (capped at opening)</t>
      </text>
    </comment>
    <comment ref="F28" authorId="0" shapeId="0">
      <text>
        <t>Loan: BMO 3 Peterbilt 579s. Closing = Opening - Principal</t>
      </text>
    </comment>
    <comment ref="C29" authorId="0" shapeId="0">
      <text>
        <t>Loan: BMO 3 Peterbilt 579s, 9369093001. Source: loans.md</t>
      </text>
    </comment>
    <comment ref="D29" authorId="0" shapeId="0">
      <text>
        <t>Loan: BMO 3 Peterbilt 579s. Interest = Opening * AnnualRate/12</t>
      </text>
    </comment>
    <comment ref="E29" authorId="0" shapeId="0">
      <text>
        <t>Loan: BMO 3 Peterbilt 579s. Principal = Payment - Interest (capped at opening)</t>
      </text>
    </comment>
    <comment ref="F29" authorId="0" shapeId="0">
      <text>
        <t>Loan: BMO 3 Peterbilt 579s. Closing = Opening - Principal</t>
      </text>
    </comment>
    <comment ref="C30" authorId="0" shapeId="0">
      <text>
        <t>Loan: BMO 3 Peterbilt 579s, 9369093001. Source: loans.md</t>
      </text>
    </comment>
    <comment ref="D30" authorId="0" shapeId="0">
      <text>
        <t>Loan: BMO 3 Peterbilt 579s. Interest = Opening * AnnualRate/12</t>
      </text>
    </comment>
    <comment ref="E30" authorId="0" shapeId="0">
      <text>
        <t>Loan: BMO 3 Peterbilt 579s. Principal = Payment - Interest (capped at opening)</t>
      </text>
    </comment>
    <comment ref="F30" authorId="0" shapeId="0">
      <text>
        <t>Loan: BMO 3 Peterbilt 579s. Closing = Opening - Principal</t>
      </text>
    </comment>
    <comment ref="C31" authorId="0" shapeId="0">
      <text>
        <t>Loan: BMO 3 Peterbilt 579s, 9369093001. Source: loans.md</t>
      </text>
    </comment>
    <comment ref="D31" authorId="0" shapeId="0">
      <text>
        <t>Loan: BMO 3 Peterbilt 579s. Interest = Opening * AnnualRate/12</t>
      </text>
    </comment>
    <comment ref="E31" authorId="0" shapeId="0">
      <text>
        <t>Loan: BMO 3 Peterbilt 579s. Principal = Payment - Interest (capped at opening)</t>
      </text>
    </comment>
    <comment ref="F31" authorId="0" shapeId="0">
      <text>
        <t>Loan: BMO 3 Peterbilt 579s. Closing = Opening - Principal</t>
      </text>
    </comment>
    <comment ref="C32" authorId="0" shapeId="0">
      <text>
        <t>Loan: BMO 3 Peterbilt 579s, 9369093001. Source: loans.md</t>
      </text>
    </comment>
    <comment ref="D32" authorId="0" shapeId="0">
      <text>
        <t>Loan: BMO 3 Peterbilt 579s. Interest = Opening * AnnualRate/12</t>
      </text>
    </comment>
    <comment ref="E32" authorId="0" shapeId="0">
      <text>
        <t>Loan: BMO 3 Peterbilt 579s. Principal = Payment - Interest (capped at opening)</t>
      </text>
    </comment>
    <comment ref="F32" authorId="0" shapeId="0">
      <text>
        <t>Loan: BMO 3 Peterbilt 579s. Closing = Opening - Principal</t>
      </text>
    </comment>
    <comment ref="C33" authorId="0" shapeId="0">
      <text>
        <t>Loan: BMO 3 Peterbilt 579s, 9369093001. Source: loans.md</t>
      </text>
    </comment>
    <comment ref="D33" authorId="0" shapeId="0">
      <text>
        <t>Loan: BMO 3 Peterbilt 579s. Interest = Opening * AnnualRate/12</t>
      </text>
    </comment>
    <comment ref="E33" authorId="0" shapeId="0">
      <text>
        <t>Loan: BMO 3 Peterbilt 579s. Principal = Payment - Interest (capped at opening)</t>
      </text>
    </comment>
    <comment ref="F33" authorId="0" shapeId="0">
      <text>
        <t>Loan: BMO 3 Peterbilt 579s. Closing = Opening - Principal</t>
      </text>
    </comment>
    <comment ref="C34" authorId="0" shapeId="0">
      <text>
        <t>Loan: BMO 3 Peterbilt 579s, 9369093001. Source: loans.md</t>
      </text>
    </comment>
    <comment ref="D34" authorId="0" shapeId="0">
      <text>
        <t>Loan: BMO 3 Peterbilt 579s. Interest = Opening * AnnualRate/12</t>
      </text>
    </comment>
    <comment ref="E34" authorId="0" shapeId="0">
      <text>
        <t>Loan: BMO 3 Peterbilt 579s. Principal = Payment - Interest (capped at opening)</t>
      </text>
    </comment>
    <comment ref="F34" authorId="0" shapeId="0">
      <text>
        <t>Loan: BMO 3 Peterbilt 579s. Closing = Opening - Principal</t>
      </text>
    </comment>
    <comment ref="C35" authorId="0" shapeId="0">
      <text>
        <t>Loan: BMO 3 Peterbilt 579s, 9369093001. Source: loans.md</t>
      </text>
    </comment>
    <comment ref="D35" authorId="0" shapeId="0">
      <text>
        <t>Loan: BMO 3 Peterbilt 579s. Interest = Opening * AnnualRate/12</t>
      </text>
    </comment>
    <comment ref="E35" authorId="0" shapeId="0">
      <text>
        <t>Loan: BMO 3 Peterbilt 579s. Principal = Payment - Interest (capped at opening)</t>
      </text>
    </comment>
    <comment ref="F35" authorId="0" shapeId="0">
      <text>
        <t>Loan: BMO 3 Peterbilt 579s. Closing = Opening - Principal</t>
      </text>
    </comment>
    <comment ref="C36" authorId="0" shapeId="0">
      <text>
        <t>Loan: BMO 3 Peterbilt 579s, 9369093001. Source: loans.md</t>
      </text>
    </comment>
    <comment ref="D36" authorId="0" shapeId="0">
      <text>
        <t>Loan: BMO 3 Peterbilt 579s. Interest = Opening * AnnualRate/12</t>
      </text>
    </comment>
    <comment ref="E36" authorId="0" shapeId="0">
      <text>
        <t>Loan: BMO 3 Peterbilt 579s. Principal = Payment - Interest (capped at opening)</t>
      </text>
    </comment>
    <comment ref="F36" authorId="0" shapeId="0">
      <text>
        <t>Loan: BMO 3 Peterbilt 579s. Closing = Opening - Principal</t>
      </text>
    </comment>
    <comment ref="C37" authorId="0" shapeId="0">
      <text>
        <t>Loan: BMO 3 Peterbilt 579s, 9369093001. Source: loans.md</t>
      </text>
    </comment>
    <comment ref="D37" authorId="0" shapeId="0">
      <text>
        <t>Loan: BMO 3 Peterbilt 579s. Interest = Opening * AnnualRate/12</t>
      </text>
    </comment>
    <comment ref="E37" authorId="0" shapeId="0">
      <text>
        <t>Loan: BMO 3 Peterbilt 579s. Principal = Payment - Interest (capped at opening)</t>
      </text>
    </comment>
    <comment ref="F37" authorId="0" shapeId="0">
      <text>
        <t>Loan: BMO 3 Peterbilt 579s. Closing = Opening - Principal</t>
      </text>
    </comment>
    <comment ref="C38" authorId="0" shapeId="0">
      <text>
        <t>Loan: BMO 3 Peterbilt 579s, 9369093001. Source: loans.md</t>
      </text>
    </comment>
    <comment ref="D38" authorId="0" shapeId="0">
      <text>
        <t>Loan: BMO 3 Peterbilt 579s. Interest = Opening * AnnualRate/12</t>
      </text>
    </comment>
    <comment ref="E38" authorId="0" shapeId="0">
      <text>
        <t>Loan: BMO 3 Peterbilt 579s. Principal = Payment - Interest (capped at opening)</t>
      </text>
    </comment>
    <comment ref="F38" authorId="0" shapeId="0">
      <text>
        <t>Loan: BMO 3 Peterbilt 579s. Closing = Opening - Principal</t>
      </text>
    </comment>
    <comment ref="C39" authorId="0" shapeId="0">
      <text>
        <t>Loan: BMO 3 Peterbilt 579s, 9369093001. Source: loans.md</t>
      </text>
    </comment>
    <comment ref="D39" authorId="0" shapeId="0">
      <text>
        <t>Loan: BMO 3 Peterbilt 579s. Interest = Opening * AnnualRate/12</t>
      </text>
    </comment>
    <comment ref="E39" authorId="0" shapeId="0">
      <text>
        <t>Loan: BMO 3 Peterbilt 579s. Principal = Payment - Interest (capped at opening)</t>
      </text>
    </comment>
    <comment ref="F39" authorId="0" shapeId="0">
      <text>
        <t>Loan: BMO 3 Peterbilt 579s. Closing = Opening - Principal</t>
      </text>
    </comment>
    <comment ref="C40" authorId="0" shapeId="0">
      <text>
        <t>Loan: BMO 3 Peterbilt 579s, 9369093001. Source: loans.md</t>
      </text>
    </comment>
    <comment ref="D40" authorId="0" shapeId="0">
      <text>
        <t>Loan: BMO 3 Peterbilt 579s. Interest = Opening * AnnualRate/12</t>
      </text>
    </comment>
    <comment ref="E40" authorId="0" shapeId="0">
      <text>
        <t>Loan: BMO 3 Peterbilt 579s. Principal = Payment - Interest (capped at opening)</t>
      </text>
    </comment>
    <comment ref="F40" authorId="0" shapeId="0">
      <text>
        <t>Loan: BMO 3 Peterbilt 579s. Closing = Opening - Principal</t>
      </text>
    </comment>
    <comment ref="C41" authorId="0" shapeId="0">
      <text>
        <t>Loan: BMO 3 Peterbilt 579s, 9369093001. Source: loans.md</t>
      </text>
    </comment>
    <comment ref="D41" authorId="0" shapeId="0">
      <text>
        <t>Loan: BMO 3 Peterbilt 579s. Interest = Opening * AnnualRate/12</t>
      </text>
    </comment>
    <comment ref="E41" authorId="0" shapeId="0">
      <text>
        <t>Loan: BMO 3 Peterbilt 579s. Principal = Payment - Interest (capped at opening)</t>
      </text>
    </comment>
    <comment ref="F41" authorId="0" shapeId="0">
      <text>
        <t>Loan: BMO 3 Peterbilt 579s. Closing = Opening - Principal</t>
      </text>
    </comment>
    <comment ref="C42" authorId="0" shapeId="0">
      <text>
        <t>Loan: BMO 3 Peterbilt 579s, 9369093001. Source: loans.md</t>
      </text>
    </comment>
    <comment ref="D42" authorId="0" shapeId="0">
      <text>
        <t>Loan: BMO 3 Peterbilt 579s. Interest = Opening * AnnualRate/12</t>
      </text>
    </comment>
    <comment ref="E42" authorId="0" shapeId="0">
      <text>
        <t>Loan: BMO 3 Peterbilt 579s. Principal = Payment - Interest (capped at opening)</t>
      </text>
    </comment>
    <comment ref="F42" authorId="0" shapeId="0">
      <text>
        <t>Loan: BMO 3 Peterbilt 579s. Closing = Opening - Principal</t>
      </text>
    </comment>
    <comment ref="C43" authorId="0" shapeId="0">
      <text>
        <t>Loan: BMO 3 Peterbilt 579s, 9369093001. Source: loans.md</t>
      </text>
    </comment>
    <comment ref="D43" authorId="0" shapeId="0">
      <text>
        <t>Loan: BMO 3 Peterbilt 579s. Interest = Opening * AnnualRate/12</t>
      </text>
    </comment>
    <comment ref="E43" authorId="0" shapeId="0">
      <text>
        <t>Loan: BMO 3 Peterbilt 579s. Principal = Payment - Interest (capped at opening)</t>
      </text>
    </comment>
    <comment ref="F43" authorId="0" shapeId="0">
      <text>
        <t>Loan: BMO 3 Peterbilt 579s. Closing = Opening - Principal</t>
      </text>
    </comment>
    <comment ref="C44" authorId="0" shapeId="0">
      <text>
        <t>Loan: BMO 3 Peterbilt 579s, 9369093001. Source: loans.md</t>
      </text>
    </comment>
    <comment ref="D44" authorId="0" shapeId="0">
      <text>
        <t>Loan: BMO 3 Peterbilt 579s. Interest = Opening * AnnualRate/12</t>
      </text>
    </comment>
    <comment ref="E44" authorId="0" shapeId="0">
      <text>
        <t>Loan: BMO 3 Peterbilt 579s. Principal = Payment - Interest (capped at opening)</t>
      </text>
    </comment>
    <comment ref="F44" authorId="0" shapeId="0">
      <text>
        <t>Loan: BMO 3 Peterbilt 579s. Closing = Opening - Principal</t>
      </text>
    </comment>
    <comment ref="C45" authorId="0" shapeId="0">
      <text>
        <t>Loan: BMO 3 Peterbilt 579s, 9369093001. Source: loans.md</t>
      </text>
    </comment>
    <comment ref="D45" authorId="0" shapeId="0">
      <text>
        <t>Loan: BMO 3 Peterbilt 579s. Interest = Opening * AnnualRate/12</t>
      </text>
    </comment>
    <comment ref="E45" authorId="0" shapeId="0">
      <text>
        <t>Loan: BMO 3 Peterbilt 579s. Principal = Payment - Interest (capped at opening)</t>
      </text>
    </comment>
    <comment ref="F45" authorId="0" shapeId="0">
      <text>
        <t>Loan: BMO 3 Peterbilt 579s. Closing = Opening - Principal</t>
      </text>
    </comment>
    <comment ref="C46" authorId="0" shapeId="0">
      <text>
        <t>Loan: BMO 3 Peterbilt 579s, 9369093001. Source: loans.md</t>
      </text>
    </comment>
    <comment ref="D46" authorId="0" shapeId="0">
      <text>
        <t>Loan: BMO 3 Peterbilt 579s. Interest = Opening * AnnualRate/12</t>
      </text>
    </comment>
    <comment ref="E46" authorId="0" shapeId="0">
      <text>
        <t>Loan: BMO 3 Peterbilt 579s. Principal = Payment - Interest (capped at opening)</t>
      </text>
    </comment>
    <comment ref="F46" authorId="0" shapeId="0">
      <text>
        <t>Loan: BMO 3 Peterbilt 579s. Closing = Opening - Principal</t>
      </text>
    </comment>
    <comment ref="C47" authorId="0" shapeId="0">
      <text>
        <t>Loan: BMO 3 Peterbilt 579s, 9369093001. Source: loans.md</t>
      </text>
    </comment>
    <comment ref="D47" authorId="0" shapeId="0">
      <text>
        <t>Loan: BMO 3 Peterbilt 579s. Interest = Opening * AnnualRate/12</t>
      </text>
    </comment>
    <comment ref="E47" authorId="0" shapeId="0">
      <text>
        <t>Loan: BMO 3 Peterbilt 579s. Principal = Payment - Interest (capped at opening)</t>
      </text>
    </comment>
    <comment ref="F47" authorId="0" shapeId="0">
      <text>
        <t>Loan: BMO 3 Peterbilt 579s. Closing = Opening - Principal</t>
      </text>
    </comment>
    <comment ref="C48" authorId="0" shapeId="0">
      <text>
        <t>Loan: BMO 3 Peterbilt 579s, 9369093001. Source: loans.md</t>
      </text>
    </comment>
    <comment ref="D48" authorId="0" shapeId="0">
      <text>
        <t>Loan: BMO 3 Peterbilt 579s. Interest = Opening * AnnualRate/12</t>
      </text>
    </comment>
    <comment ref="E48" authorId="0" shapeId="0">
      <text>
        <t>Loan: BMO 3 Peterbilt 579s. Principal = Payment - Interest (capped at opening)</t>
      </text>
    </comment>
    <comment ref="F48" authorId="0" shapeId="0">
      <text>
        <t>Loan: BMO 3 Peterbilt 579s. Closing = Opening - Principal</t>
      </text>
    </comment>
    <comment ref="C49" authorId="0" shapeId="0">
      <text>
        <t>Loan: BMO 3 Peterbilt 579s, 9369093001. Source: loans.md</t>
      </text>
    </comment>
    <comment ref="D49" authorId="0" shapeId="0">
      <text>
        <t>Loan: BMO 3 Peterbilt 579s. Interest = Opening * AnnualRate/12</t>
      </text>
    </comment>
    <comment ref="E49" authorId="0" shapeId="0">
      <text>
        <t>Loan: BMO 3 Peterbilt 579s. Principal = Payment - Interest (capped at opening)</t>
      </text>
    </comment>
    <comment ref="F49" authorId="0" shapeId="0">
      <text>
        <t>Loan: BMO 3 Peterbilt 579s. Closing = Opening - Principal</t>
      </text>
    </comment>
    <comment ref="C50" authorId="0" shapeId="0">
      <text>
        <t>Loan: BMO 3 Peterbilt 579s, 9369093001. Source: loans.md</t>
      </text>
    </comment>
    <comment ref="D50" authorId="0" shapeId="0">
      <text>
        <t>Loan: BMO 3 Peterbilt 579s. Interest = Opening * AnnualRate/12</t>
      </text>
    </comment>
    <comment ref="E50" authorId="0" shapeId="0">
      <text>
        <t>Loan: BMO 3 Peterbilt 579s. Principal = Payment - Interest (capped at opening)</t>
      </text>
    </comment>
    <comment ref="F50" authorId="0" shapeId="0">
      <text>
        <t>Loan: BMO 3 Peterbilt 579s. Closing = Opening - Principal</t>
      </text>
    </comment>
    <comment ref="C51" authorId="0" shapeId="0">
      <text>
        <t>Loan: BMO 3 Peterbilt 579s, 9369093001. Source: loans.md</t>
      </text>
    </comment>
    <comment ref="D51" authorId="0" shapeId="0">
      <text>
        <t>Loan: BMO 3 Peterbilt 579s. Interest = Opening * AnnualRate/12</t>
      </text>
    </comment>
    <comment ref="E51" authorId="0" shapeId="0">
      <text>
        <t>Loan: BMO 3 Peterbilt 579s. Principal = Payment - Interest (capped at opening)</t>
      </text>
    </comment>
    <comment ref="F51" authorId="0" shapeId="0">
      <text>
        <t>Loan: BMO 3 Peterbilt 579s. Closing = Opening - Principal</t>
      </text>
    </comment>
    <comment ref="C52" authorId="0" shapeId="0">
      <text>
        <t>Loan: BMO 3 Peterbilt 579s, 9369093001. Source: loans.md</t>
      </text>
    </comment>
    <comment ref="D52" authorId="0" shapeId="0">
      <text>
        <t>Loan: BMO 3 Peterbilt 579s. Interest = Opening * AnnualRate/12</t>
      </text>
    </comment>
    <comment ref="E52" authorId="0" shapeId="0">
      <text>
        <t>Loan: BMO 3 Peterbilt 579s. Principal = Payment - Interest (capped at opening)</t>
      </text>
    </comment>
    <comment ref="F52" authorId="0" shapeId="0">
      <text>
        <t>Loan: BMO 3 Peterbilt 579s. Closing = Opening - Principal</t>
      </text>
    </comment>
    <comment ref="C53" authorId="0" shapeId="0">
      <text>
        <t>Loan: BMO 3 Peterbilt 579s, 9369093001. Source: loans.md</t>
      </text>
    </comment>
    <comment ref="D53" authorId="0" shapeId="0">
      <text>
        <t>Loan: BMO 3 Peterbilt 579s. Interest = Opening * AnnualRate/12</t>
      </text>
    </comment>
    <comment ref="E53" authorId="0" shapeId="0">
      <text>
        <t>Loan: BMO 3 Peterbilt 579s. Principal = Payment - Interest (capped at opening)</t>
      </text>
    </comment>
    <comment ref="F53" authorId="0" shapeId="0">
      <text>
        <t>Loan: BMO 3 Peterbilt 579s. Closing = Opening - Principal</t>
      </text>
    </comment>
    <comment ref="C54" authorId="0" shapeId="0">
      <text>
        <t>Loan: BMO 3 Peterbilt 579s, 9369093001. Source: loans.md</t>
      </text>
    </comment>
    <comment ref="D54" authorId="0" shapeId="0">
      <text>
        <t>Loan: BMO 3 Peterbilt 579s. Interest = Opening * AnnualRate/12</t>
      </text>
    </comment>
    <comment ref="E54" authorId="0" shapeId="0">
      <text>
        <t>Loan: BMO 3 Peterbilt 579s. Principal = Payment - Interest (capped at opening)</t>
      </text>
    </comment>
    <comment ref="F54" authorId="0" shapeId="0">
      <text>
        <t>Loan: BMO 3 Peterbilt 579s. Closing = Opening - Principal</t>
      </text>
    </comment>
    <comment ref="C55" authorId="0" shapeId="0">
      <text>
        <t>Loan: BMO 3 Peterbilt 579s, 9369093001. Source: loans.md</t>
      </text>
    </comment>
    <comment ref="D55" authorId="0" shapeId="0">
      <text>
        <t>Loan: BMO 3 Peterbilt 579s. Interest = Opening * AnnualRate/12</t>
      </text>
    </comment>
    <comment ref="E55" authorId="0" shapeId="0">
      <text>
        <t>Loan: BMO 3 Peterbilt 579s. Principal = Payment - Interest (capped at opening)</t>
      </text>
    </comment>
    <comment ref="F55" authorId="0" shapeId="0">
      <text>
        <t>Loan: BMO 3 Peterbilt 579s. Closing = Opening - Principal</t>
      </text>
    </comment>
    <comment ref="C56" authorId="0" shapeId="0">
      <text>
        <t>Loan: BMO 3 Peterbilt 579s, 9369093001. Source: loans.md</t>
      </text>
    </comment>
    <comment ref="D56" authorId="0" shapeId="0">
      <text>
        <t>Loan: BMO 3 Peterbilt 579s. Interest = Opening * AnnualRate/12</t>
      </text>
    </comment>
    <comment ref="E56" authorId="0" shapeId="0">
      <text>
        <t>Loan: BMO 3 Peterbilt 579s. Principal = Payment - Interest (capped at opening)</t>
      </text>
    </comment>
    <comment ref="F56" authorId="0" shapeId="0">
      <text>
        <t>Loan: BMO 3 Peterbilt 579s. Closing = Opening - Principal</t>
      </text>
    </comment>
    <comment ref="C57" authorId="0" shapeId="0">
      <text>
        <t>Loan: BMO 3 Peterbilt 579s, 9369093001. Source: loans.md</t>
      </text>
    </comment>
    <comment ref="D57" authorId="0" shapeId="0">
      <text>
        <t>Loan: BMO 3 Peterbilt 579s. Interest = Opening * AnnualRate/12</t>
      </text>
    </comment>
    <comment ref="E57" authorId="0" shapeId="0">
      <text>
        <t>Loan: BMO 3 Peterbilt 579s. Principal = Payment - Interest (capped at opening)</t>
      </text>
    </comment>
    <comment ref="F57" authorId="0" shapeId="0">
      <text>
        <t>Loan: BMO 3 Peterbilt 579s. Closing = Opening - Principal</t>
      </text>
    </comment>
    <comment ref="C58" authorId="0" shapeId="0">
      <text>
        <t>Loan: BMO 3 Peterbilt 579s, 9369093001. Source: loans.md</t>
      </text>
    </comment>
    <comment ref="D58" authorId="0" shapeId="0">
      <text>
        <t>Loan: BMO 3 Peterbilt 579s. Interest = Opening * AnnualRate/12</t>
      </text>
    </comment>
    <comment ref="E58" authorId="0" shapeId="0">
      <text>
        <t>Loan: BMO 3 Peterbilt 579s. Principal = Payment - Interest (capped at opening)</t>
      </text>
    </comment>
    <comment ref="F58" authorId="0" shapeId="0">
      <text>
        <t>Loan: BMO 3 Peterbilt 579s. Closing = Opening - Principal</t>
      </text>
    </comment>
    <comment ref="C59" authorId="0" shapeId="0">
      <text>
        <t>Loan: BMO 3 Peterbilt 579s, 9369093001. Source: loans.md</t>
      </text>
    </comment>
    <comment ref="D59" authorId="0" shapeId="0">
      <text>
        <t>Loan: BMO 3 Peterbilt 579s. Interest = Opening * AnnualRate/12</t>
      </text>
    </comment>
    <comment ref="E59" authorId="0" shapeId="0">
      <text>
        <t>Loan: BMO 3 Peterbilt 579s. Principal = Payment - Interest (capped at opening)</t>
      </text>
    </comment>
    <comment ref="F59" authorId="0" shapeId="0">
      <text>
        <t>Loan: BMO 3 Peterbilt 579s. Closing = Opening - Principal</t>
      </text>
    </comment>
    <comment ref="C63" authorId="0" shapeId="0">
      <text>
        <t>Sum of rows 23: Opening balance for 2026</t>
      </text>
    </comment>
    <comment ref="D63" authorId="0" shapeId="0">
      <text>
        <t>Sum of rows 23-34: Total interest for 2026</t>
      </text>
    </comment>
    <comment ref="E63" authorId="0" shapeId="0">
      <text>
        <t>Sum of rows 23-34: Total principal for 2026</t>
      </text>
    </comment>
    <comment ref="F63" authorId="0" shapeId="0">
      <text>
        <t>Row 34: Ending balance for 2026</t>
      </text>
    </comment>
    <comment ref="C64" authorId="0" shapeId="0">
      <text>
        <t>Sum of rows 35: Opening balance for 2027</t>
      </text>
    </comment>
    <comment ref="D64" authorId="0" shapeId="0">
      <text>
        <t>Sum of rows 35-46: Total interest for 2027</t>
      </text>
    </comment>
    <comment ref="E64" authorId="0" shapeId="0">
      <text>
        <t>Sum of rows 35-46: Total principal for 2027</t>
      </text>
    </comment>
    <comment ref="F64" authorId="0" shapeId="0">
      <text>
        <t>Row 46: Ending balance for 2027</t>
      </text>
    </comment>
    <comment ref="C65" authorId="0" shapeId="0">
      <text>
        <t>Sum of rows 47: Opening balance for 2028</t>
      </text>
    </comment>
    <comment ref="D65" authorId="0" shapeId="0">
      <text>
        <t>Sum of rows 47-58: Total interest for 2028</t>
      </text>
    </comment>
    <comment ref="E65" authorId="0" shapeId="0">
      <text>
        <t>Sum of rows 47-58: Total principal for 2028</t>
      </text>
    </comment>
    <comment ref="F65" authorId="0" shapeId="0">
      <text>
        <t>Row 58: Ending balance for 2028</t>
      </text>
    </comment>
    <comment ref="C66" authorId="0" shapeId="0">
      <text>
        <t>Sum of rows 59: Opening balance for 2029</t>
      </text>
    </comment>
    <comment ref="D66" authorId="0" shapeId="0">
      <text>
        <t>Sum of rows 59-59: Total interest for 2029</t>
      </text>
    </comment>
    <comment ref="E66" authorId="0" shapeId="0">
      <text>
        <t>Sum of rows 59-59: Total principal for 2029</t>
      </text>
    </comment>
    <comment ref="F66" authorId="0" shapeId="0">
      <text>
        <t>Row 59: Ending balance for 2029</t>
      </text>
    </comment>
  </commentList>
</comments>
</file>

<file path=xl/comments/comment63.xml><?xml version="1.0" encoding="utf-8"?>
<comments xmlns="http://schemas.openxmlformats.org/spreadsheetml/2006/main">
  <authors>
    <author>Model Builder</author>
  </authors>
  <commentList>
    <comment ref="B6" authorId="0" shapeId="0">
      <text>
        <t>Source: loans.md - BMO Loan 9370133001
Balance as of 12/31/2025</t>
      </text>
    </comment>
    <comment ref="B7" authorId="0" shapeId="0">
      <text>
        <t>Source: loans.md - BMO Loan 9370133001
Fixed rate per loan agreement</t>
      </text>
    </comment>
    <comment ref="B8" authorId="0" shapeId="0">
      <text>
        <t>Source: loans.md - BMO Loan 9370133001
Fixed monthly payment</t>
      </text>
    </comment>
    <comment ref="C23" authorId="0" shapeId="0">
      <text>
        <t>Loan: BMO 1 Peterbilt 579, 9370133001. Source: loans.md</t>
      </text>
    </comment>
    <comment ref="D23" authorId="0" shapeId="0">
      <text>
        <t>Loan: BMO 1 Peterbilt 579. Interest = Opening * AnnualRate/12</t>
      </text>
    </comment>
    <comment ref="E23" authorId="0" shapeId="0">
      <text>
        <t>Loan: BMO 1 Peterbilt 579. Principal = Payment - Interest (capped at opening)</t>
      </text>
    </comment>
    <comment ref="F23" authorId="0" shapeId="0">
      <text>
        <t>Loan: BMO 1 Peterbilt 579. Closing = Opening - Principal</t>
      </text>
    </comment>
    <comment ref="C24" authorId="0" shapeId="0">
      <text>
        <t>Loan: BMO 1 Peterbilt 579, 9370133001. Source: loans.md</t>
      </text>
    </comment>
    <comment ref="D24" authorId="0" shapeId="0">
      <text>
        <t>Loan: BMO 1 Peterbilt 579. Interest = Opening * AnnualRate/12</t>
      </text>
    </comment>
    <comment ref="E24" authorId="0" shapeId="0">
      <text>
        <t>Loan: BMO 1 Peterbilt 579. Principal = Payment - Interest (capped at opening)</t>
      </text>
    </comment>
    <comment ref="F24" authorId="0" shapeId="0">
      <text>
        <t>Loan: BMO 1 Peterbilt 579. Closing = Opening - Principal</t>
      </text>
    </comment>
    <comment ref="C25" authorId="0" shapeId="0">
      <text>
        <t>Loan: BMO 1 Peterbilt 579, 9370133001. Source: loans.md</t>
      </text>
    </comment>
    <comment ref="D25" authorId="0" shapeId="0">
      <text>
        <t>Loan: BMO 1 Peterbilt 579. Interest = Opening * AnnualRate/12</t>
      </text>
    </comment>
    <comment ref="E25" authorId="0" shapeId="0">
      <text>
        <t>Loan: BMO 1 Peterbilt 579. Principal = Payment - Interest (capped at opening)</t>
      </text>
    </comment>
    <comment ref="F25" authorId="0" shapeId="0">
      <text>
        <t>Loan: BMO 1 Peterbilt 579. Closing = Opening - Principal</t>
      </text>
    </comment>
    <comment ref="C26" authorId="0" shapeId="0">
      <text>
        <t>Loan: BMO 1 Peterbilt 579, 9370133001. Source: loans.md</t>
      </text>
    </comment>
    <comment ref="D26" authorId="0" shapeId="0">
      <text>
        <t>Loan: BMO 1 Peterbilt 579. Interest = Opening * AnnualRate/12</t>
      </text>
    </comment>
    <comment ref="E26" authorId="0" shapeId="0">
      <text>
        <t>Loan: BMO 1 Peterbilt 579. Principal = Payment - Interest (capped at opening)</t>
      </text>
    </comment>
    <comment ref="F26" authorId="0" shapeId="0">
      <text>
        <t>Loan: BMO 1 Peterbilt 579. Closing = Opening - Principal</t>
      </text>
    </comment>
    <comment ref="C27" authorId="0" shapeId="0">
      <text>
        <t>Loan: BMO 1 Peterbilt 579, 9370133001. Source: loans.md</t>
      </text>
    </comment>
    <comment ref="D27" authorId="0" shapeId="0">
      <text>
        <t>Loan: BMO 1 Peterbilt 579. Interest = Opening * AnnualRate/12</t>
      </text>
    </comment>
    <comment ref="E27" authorId="0" shapeId="0">
      <text>
        <t>Loan: BMO 1 Peterbilt 579. Principal = Payment - Interest (capped at opening)</t>
      </text>
    </comment>
    <comment ref="F27" authorId="0" shapeId="0">
      <text>
        <t>Loan: BMO 1 Peterbilt 579. Closing = Opening - Principal</t>
      </text>
    </comment>
    <comment ref="C28" authorId="0" shapeId="0">
      <text>
        <t>Loan: BMO 1 Peterbilt 579, 9370133001. Source: loans.md</t>
      </text>
    </comment>
    <comment ref="D28" authorId="0" shapeId="0">
      <text>
        <t>Loan: BMO 1 Peterbilt 579. Interest = Opening * AnnualRate/12</t>
      </text>
    </comment>
    <comment ref="E28" authorId="0" shapeId="0">
      <text>
        <t>Loan: BMO 1 Peterbilt 579. Principal = Payment - Interest (capped at opening)</t>
      </text>
    </comment>
    <comment ref="F28" authorId="0" shapeId="0">
      <text>
        <t>Loan: BMO 1 Peterbilt 579. Closing = Opening - Principal</t>
      </text>
    </comment>
    <comment ref="C29" authorId="0" shapeId="0">
      <text>
        <t>Loan: BMO 1 Peterbilt 579, 9370133001. Source: loans.md</t>
      </text>
    </comment>
    <comment ref="D29" authorId="0" shapeId="0">
      <text>
        <t>Loan: BMO 1 Peterbilt 579. Interest = Opening * AnnualRate/12</t>
      </text>
    </comment>
    <comment ref="E29" authorId="0" shapeId="0">
      <text>
        <t>Loan: BMO 1 Peterbilt 579. Principal = Payment - Interest (capped at opening)</t>
      </text>
    </comment>
    <comment ref="F29" authorId="0" shapeId="0">
      <text>
        <t>Loan: BMO 1 Peterbilt 579. Closing = Opening - Principal</t>
      </text>
    </comment>
    <comment ref="C30" authorId="0" shapeId="0">
      <text>
        <t>Loan: BMO 1 Peterbilt 579, 9370133001. Source: loans.md</t>
      </text>
    </comment>
    <comment ref="D30" authorId="0" shapeId="0">
      <text>
        <t>Loan: BMO 1 Peterbilt 579. Interest = Opening * AnnualRate/12</t>
      </text>
    </comment>
    <comment ref="E30" authorId="0" shapeId="0">
      <text>
        <t>Loan: BMO 1 Peterbilt 579. Principal = Payment - Interest (capped at opening)</t>
      </text>
    </comment>
    <comment ref="F30" authorId="0" shapeId="0">
      <text>
        <t>Loan: BMO 1 Peterbilt 579. Closing = Opening - Principal</t>
      </text>
    </comment>
    <comment ref="C31" authorId="0" shapeId="0">
      <text>
        <t>Loan: BMO 1 Peterbilt 579, 9370133001. Source: loans.md</t>
      </text>
    </comment>
    <comment ref="D31" authorId="0" shapeId="0">
      <text>
        <t>Loan: BMO 1 Peterbilt 579. Interest = Opening * AnnualRate/12</t>
      </text>
    </comment>
    <comment ref="E31" authorId="0" shapeId="0">
      <text>
        <t>Loan: BMO 1 Peterbilt 579. Principal = Payment - Interest (capped at opening)</t>
      </text>
    </comment>
    <comment ref="F31" authorId="0" shapeId="0">
      <text>
        <t>Loan: BMO 1 Peterbilt 579. Closing = Opening - Principal</t>
      </text>
    </comment>
    <comment ref="C32" authorId="0" shapeId="0">
      <text>
        <t>Loan: BMO 1 Peterbilt 579, 9370133001. Source: loans.md</t>
      </text>
    </comment>
    <comment ref="D32" authorId="0" shapeId="0">
      <text>
        <t>Loan: BMO 1 Peterbilt 579. Interest = Opening * AnnualRate/12</t>
      </text>
    </comment>
    <comment ref="E32" authorId="0" shapeId="0">
      <text>
        <t>Loan: BMO 1 Peterbilt 579. Principal = Payment - Interest (capped at opening)</t>
      </text>
    </comment>
    <comment ref="F32" authorId="0" shapeId="0">
      <text>
        <t>Loan: BMO 1 Peterbilt 579. Closing = Opening - Principal</t>
      </text>
    </comment>
    <comment ref="C33" authorId="0" shapeId="0">
      <text>
        <t>Loan: BMO 1 Peterbilt 579, 9370133001. Source: loans.md</t>
      </text>
    </comment>
    <comment ref="D33" authorId="0" shapeId="0">
      <text>
        <t>Loan: BMO 1 Peterbilt 579. Interest = Opening * AnnualRate/12</t>
      </text>
    </comment>
    <comment ref="E33" authorId="0" shapeId="0">
      <text>
        <t>Loan: BMO 1 Peterbilt 579. Principal = Payment - Interest (capped at opening)</t>
      </text>
    </comment>
    <comment ref="F33" authorId="0" shapeId="0">
      <text>
        <t>Loan: BMO 1 Peterbilt 579. Closing = Opening - Principal</t>
      </text>
    </comment>
    <comment ref="C34" authorId="0" shapeId="0">
      <text>
        <t>Loan: BMO 1 Peterbilt 579, 9370133001. Source: loans.md</t>
      </text>
    </comment>
    <comment ref="D34" authorId="0" shapeId="0">
      <text>
        <t>Loan: BMO 1 Peterbilt 579. Interest = Opening * AnnualRate/12</t>
      </text>
    </comment>
    <comment ref="E34" authorId="0" shapeId="0">
      <text>
        <t>Loan: BMO 1 Peterbilt 579. Principal = Payment - Interest (capped at opening)</t>
      </text>
    </comment>
    <comment ref="F34" authorId="0" shapeId="0">
      <text>
        <t>Loan: BMO 1 Peterbilt 579. Closing = Opening - Principal</t>
      </text>
    </comment>
    <comment ref="C35" authorId="0" shapeId="0">
      <text>
        <t>Loan: BMO 1 Peterbilt 579, 9370133001. Source: loans.md</t>
      </text>
    </comment>
    <comment ref="D35" authorId="0" shapeId="0">
      <text>
        <t>Loan: BMO 1 Peterbilt 579. Interest = Opening * AnnualRate/12</t>
      </text>
    </comment>
    <comment ref="E35" authorId="0" shapeId="0">
      <text>
        <t>Loan: BMO 1 Peterbilt 579. Principal = Payment - Interest (capped at opening)</t>
      </text>
    </comment>
    <comment ref="F35" authorId="0" shapeId="0">
      <text>
        <t>Loan: BMO 1 Peterbilt 579. Closing = Opening - Principal</t>
      </text>
    </comment>
    <comment ref="C36" authorId="0" shapeId="0">
      <text>
        <t>Loan: BMO 1 Peterbilt 579, 9370133001. Source: loans.md</t>
      </text>
    </comment>
    <comment ref="D36" authorId="0" shapeId="0">
      <text>
        <t>Loan: BMO 1 Peterbilt 579. Interest = Opening * AnnualRate/12</t>
      </text>
    </comment>
    <comment ref="E36" authorId="0" shapeId="0">
      <text>
        <t>Loan: BMO 1 Peterbilt 579. Principal = Payment - Interest (capped at opening)</t>
      </text>
    </comment>
    <comment ref="F36" authorId="0" shapeId="0">
      <text>
        <t>Loan: BMO 1 Peterbilt 579. Closing = Opening - Principal</t>
      </text>
    </comment>
    <comment ref="C37" authorId="0" shapeId="0">
      <text>
        <t>Loan: BMO 1 Peterbilt 579, 9370133001. Source: loans.md</t>
      </text>
    </comment>
    <comment ref="D37" authorId="0" shapeId="0">
      <text>
        <t>Loan: BMO 1 Peterbilt 579. Interest = Opening * AnnualRate/12</t>
      </text>
    </comment>
    <comment ref="E37" authorId="0" shapeId="0">
      <text>
        <t>Loan: BMO 1 Peterbilt 579. Principal = Payment - Interest (capped at opening)</t>
      </text>
    </comment>
    <comment ref="F37" authorId="0" shapeId="0">
      <text>
        <t>Loan: BMO 1 Peterbilt 579. Closing = Opening - Principal</t>
      </text>
    </comment>
    <comment ref="C38" authorId="0" shapeId="0">
      <text>
        <t>Loan: BMO 1 Peterbilt 579, 9370133001. Source: loans.md</t>
      </text>
    </comment>
    <comment ref="D38" authorId="0" shapeId="0">
      <text>
        <t>Loan: BMO 1 Peterbilt 579. Interest = Opening * AnnualRate/12</t>
      </text>
    </comment>
    <comment ref="E38" authorId="0" shapeId="0">
      <text>
        <t>Loan: BMO 1 Peterbilt 579. Principal = Payment - Interest (capped at opening)</t>
      </text>
    </comment>
    <comment ref="F38" authorId="0" shapeId="0">
      <text>
        <t>Loan: BMO 1 Peterbilt 579. Closing = Opening - Principal</t>
      </text>
    </comment>
    <comment ref="C39" authorId="0" shapeId="0">
      <text>
        <t>Loan: BMO 1 Peterbilt 579, 9370133001. Source: loans.md</t>
      </text>
    </comment>
    <comment ref="D39" authorId="0" shapeId="0">
      <text>
        <t>Loan: BMO 1 Peterbilt 579. Interest = Opening * AnnualRate/12</t>
      </text>
    </comment>
    <comment ref="E39" authorId="0" shapeId="0">
      <text>
        <t>Loan: BMO 1 Peterbilt 579. Principal = Payment - Interest (capped at opening)</t>
      </text>
    </comment>
    <comment ref="F39" authorId="0" shapeId="0">
      <text>
        <t>Loan: BMO 1 Peterbilt 579. Closing = Opening - Principal</t>
      </text>
    </comment>
    <comment ref="C40" authorId="0" shapeId="0">
      <text>
        <t>Loan: BMO 1 Peterbilt 579, 9370133001. Source: loans.md</t>
      </text>
    </comment>
    <comment ref="D40" authorId="0" shapeId="0">
      <text>
        <t>Loan: BMO 1 Peterbilt 579. Interest = Opening * AnnualRate/12</t>
      </text>
    </comment>
    <comment ref="E40" authorId="0" shapeId="0">
      <text>
        <t>Loan: BMO 1 Peterbilt 579. Principal = Payment - Interest (capped at opening)</t>
      </text>
    </comment>
    <comment ref="F40" authorId="0" shapeId="0">
      <text>
        <t>Loan: BMO 1 Peterbilt 579. Closing = Opening - Principal</t>
      </text>
    </comment>
    <comment ref="C41" authorId="0" shapeId="0">
      <text>
        <t>Loan: BMO 1 Peterbilt 579, 9370133001. Source: loans.md</t>
      </text>
    </comment>
    <comment ref="D41" authorId="0" shapeId="0">
      <text>
        <t>Loan: BMO 1 Peterbilt 579. Interest = Opening * AnnualRate/12</t>
      </text>
    </comment>
    <comment ref="E41" authorId="0" shapeId="0">
      <text>
        <t>Loan: BMO 1 Peterbilt 579. Principal = Payment - Interest (capped at opening)</t>
      </text>
    </comment>
    <comment ref="F41" authorId="0" shapeId="0">
      <text>
        <t>Loan: BMO 1 Peterbilt 579. Closing = Opening - Principal</t>
      </text>
    </comment>
    <comment ref="C42" authorId="0" shapeId="0">
      <text>
        <t>Loan: BMO 1 Peterbilt 579, 9370133001. Source: loans.md</t>
      </text>
    </comment>
    <comment ref="D42" authorId="0" shapeId="0">
      <text>
        <t>Loan: BMO 1 Peterbilt 579. Interest = Opening * AnnualRate/12</t>
      </text>
    </comment>
    <comment ref="E42" authorId="0" shapeId="0">
      <text>
        <t>Loan: BMO 1 Peterbilt 579. Principal = Payment - Interest (capped at opening)</t>
      </text>
    </comment>
    <comment ref="F42" authorId="0" shapeId="0">
      <text>
        <t>Loan: BMO 1 Peterbilt 579. Closing = Opening - Principal</t>
      </text>
    </comment>
    <comment ref="C43" authorId="0" shapeId="0">
      <text>
        <t>Loan: BMO 1 Peterbilt 579, 9370133001. Source: loans.md</t>
      </text>
    </comment>
    <comment ref="D43" authorId="0" shapeId="0">
      <text>
        <t>Loan: BMO 1 Peterbilt 579. Interest = Opening * AnnualRate/12</t>
      </text>
    </comment>
    <comment ref="E43" authorId="0" shapeId="0">
      <text>
        <t>Loan: BMO 1 Peterbilt 579. Principal = Payment - Interest (capped at opening)</t>
      </text>
    </comment>
    <comment ref="F43" authorId="0" shapeId="0">
      <text>
        <t>Loan: BMO 1 Peterbilt 579. Closing = Opening - Principal</t>
      </text>
    </comment>
    <comment ref="C44" authorId="0" shapeId="0">
      <text>
        <t>Loan: BMO 1 Peterbilt 579, 9370133001. Source: loans.md</t>
      </text>
    </comment>
    <comment ref="D44" authorId="0" shapeId="0">
      <text>
        <t>Loan: BMO 1 Peterbilt 579. Interest = Opening * AnnualRate/12</t>
      </text>
    </comment>
    <comment ref="E44" authorId="0" shapeId="0">
      <text>
        <t>Loan: BMO 1 Peterbilt 579. Principal = Payment - Interest (capped at opening)</t>
      </text>
    </comment>
    <comment ref="F44" authorId="0" shapeId="0">
      <text>
        <t>Loan: BMO 1 Peterbilt 579. Closing = Opening - Principal</t>
      </text>
    </comment>
    <comment ref="C45" authorId="0" shapeId="0">
      <text>
        <t>Loan: BMO 1 Peterbilt 579, 9370133001. Source: loans.md</t>
      </text>
    </comment>
    <comment ref="D45" authorId="0" shapeId="0">
      <text>
        <t>Loan: BMO 1 Peterbilt 579. Interest = Opening * AnnualRate/12</t>
      </text>
    </comment>
    <comment ref="E45" authorId="0" shapeId="0">
      <text>
        <t>Loan: BMO 1 Peterbilt 579. Principal = Payment - Interest (capped at opening)</t>
      </text>
    </comment>
    <comment ref="F45" authorId="0" shapeId="0">
      <text>
        <t>Loan: BMO 1 Peterbilt 579. Closing = Opening - Principal</t>
      </text>
    </comment>
    <comment ref="C46" authorId="0" shapeId="0">
      <text>
        <t>Loan: BMO 1 Peterbilt 579, 9370133001. Source: loans.md</t>
      </text>
    </comment>
    <comment ref="D46" authorId="0" shapeId="0">
      <text>
        <t>Loan: BMO 1 Peterbilt 579. Interest = Opening * AnnualRate/12</t>
      </text>
    </comment>
    <comment ref="E46" authorId="0" shapeId="0">
      <text>
        <t>Loan: BMO 1 Peterbilt 579. Principal = Payment - Interest (capped at opening)</t>
      </text>
    </comment>
    <comment ref="F46" authorId="0" shapeId="0">
      <text>
        <t>Loan: BMO 1 Peterbilt 579. Closing = Opening - Principal</t>
      </text>
    </comment>
    <comment ref="C47" authorId="0" shapeId="0">
      <text>
        <t>Loan: BMO 1 Peterbilt 579, 9370133001. Source: loans.md</t>
      </text>
    </comment>
    <comment ref="D47" authorId="0" shapeId="0">
      <text>
        <t>Loan: BMO 1 Peterbilt 579. Interest = Opening * AnnualRate/12</t>
      </text>
    </comment>
    <comment ref="E47" authorId="0" shapeId="0">
      <text>
        <t>Loan: BMO 1 Peterbilt 579. Principal = Payment - Interest (capped at opening)</t>
      </text>
    </comment>
    <comment ref="F47" authorId="0" shapeId="0">
      <text>
        <t>Loan: BMO 1 Peterbilt 579. Closing = Opening - Principal</t>
      </text>
    </comment>
    <comment ref="C48" authorId="0" shapeId="0">
      <text>
        <t>Loan: BMO 1 Peterbilt 579, 9370133001. Source: loans.md</t>
      </text>
    </comment>
    <comment ref="D48" authorId="0" shapeId="0">
      <text>
        <t>Loan: BMO 1 Peterbilt 579. Interest = Opening * AnnualRate/12</t>
      </text>
    </comment>
    <comment ref="E48" authorId="0" shapeId="0">
      <text>
        <t>Loan: BMO 1 Peterbilt 579. Principal = Payment - Interest (capped at opening)</t>
      </text>
    </comment>
    <comment ref="F48" authorId="0" shapeId="0">
      <text>
        <t>Loan: BMO 1 Peterbilt 579. Closing = Opening - Principal</t>
      </text>
    </comment>
    <comment ref="C49" authorId="0" shapeId="0">
      <text>
        <t>Loan: BMO 1 Peterbilt 579, 9370133001. Source: loans.md</t>
      </text>
    </comment>
    <comment ref="D49" authorId="0" shapeId="0">
      <text>
        <t>Loan: BMO 1 Peterbilt 579. Interest = Opening * AnnualRate/12</t>
      </text>
    </comment>
    <comment ref="E49" authorId="0" shapeId="0">
      <text>
        <t>Loan: BMO 1 Peterbilt 579. Principal = Payment - Interest (capped at opening)</t>
      </text>
    </comment>
    <comment ref="F49" authorId="0" shapeId="0">
      <text>
        <t>Loan: BMO 1 Peterbilt 579. Closing = Opening - Principal</t>
      </text>
    </comment>
    <comment ref="C50" authorId="0" shapeId="0">
      <text>
        <t>Loan: BMO 1 Peterbilt 579, 9370133001. Source: loans.md</t>
      </text>
    </comment>
    <comment ref="D50" authorId="0" shapeId="0">
      <text>
        <t>Loan: BMO 1 Peterbilt 579. Interest = Opening * AnnualRate/12</t>
      </text>
    </comment>
    <comment ref="E50" authorId="0" shapeId="0">
      <text>
        <t>Loan: BMO 1 Peterbilt 579. Principal = Payment - Interest (capped at opening)</t>
      </text>
    </comment>
    <comment ref="F50" authorId="0" shapeId="0">
      <text>
        <t>Loan: BMO 1 Peterbilt 579. Closing = Opening - Principal</t>
      </text>
    </comment>
    <comment ref="C51" authorId="0" shapeId="0">
      <text>
        <t>Loan: BMO 1 Peterbilt 579, 9370133001. Source: loans.md</t>
      </text>
    </comment>
    <comment ref="D51" authorId="0" shapeId="0">
      <text>
        <t>Loan: BMO 1 Peterbilt 579. Interest = Opening * AnnualRate/12</t>
      </text>
    </comment>
    <comment ref="E51" authorId="0" shapeId="0">
      <text>
        <t>Loan: BMO 1 Peterbilt 579. Principal = Payment - Interest (capped at opening)</t>
      </text>
    </comment>
    <comment ref="F51" authorId="0" shapeId="0">
      <text>
        <t>Loan: BMO 1 Peterbilt 579. Closing = Opening - Principal</t>
      </text>
    </comment>
    <comment ref="C52" authorId="0" shapeId="0">
      <text>
        <t>Loan: BMO 1 Peterbilt 579, 9370133001. Source: loans.md</t>
      </text>
    </comment>
    <comment ref="D52" authorId="0" shapeId="0">
      <text>
        <t>Loan: BMO 1 Peterbilt 579. Interest = Opening * AnnualRate/12</t>
      </text>
    </comment>
    <comment ref="E52" authorId="0" shapeId="0">
      <text>
        <t>Loan: BMO 1 Peterbilt 579. Principal = Payment - Interest (capped at opening)</t>
      </text>
    </comment>
    <comment ref="F52" authorId="0" shapeId="0">
      <text>
        <t>Loan: BMO 1 Peterbilt 579. Closing = Opening - Principal</t>
      </text>
    </comment>
    <comment ref="C53" authorId="0" shapeId="0">
      <text>
        <t>Loan: BMO 1 Peterbilt 579, 9370133001. Source: loans.md</t>
      </text>
    </comment>
    <comment ref="D53" authorId="0" shapeId="0">
      <text>
        <t>Loan: BMO 1 Peterbilt 579. Interest = Opening * AnnualRate/12</t>
      </text>
    </comment>
    <comment ref="E53" authorId="0" shapeId="0">
      <text>
        <t>Loan: BMO 1 Peterbilt 579. Principal = Payment - Interest (capped at opening)</t>
      </text>
    </comment>
    <comment ref="F53" authorId="0" shapeId="0">
      <text>
        <t>Loan: BMO 1 Peterbilt 579. Closing = Opening - Principal</t>
      </text>
    </comment>
    <comment ref="C54" authorId="0" shapeId="0">
      <text>
        <t>Loan: BMO 1 Peterbilt 579, 9370133001. Source: loans.md</t>
      </text>
    </comment>
    <comment ref="D54" authorId="0" shapeId="0">
      <text>
        <t>Loan: BMO 1 Peterbilt 579. Interest = Opening * AnnualRate/12</t>
      </text>
    </comment>
    <comment ref="E54" authorId="0" shapeId="0">
      <text>
        <t>Loan: BMO 1 Peterbilt 579. Principal = Payment - Interest (capped at opening)</t>
      </text>
    </comment>
    <comment ref="F54" authorId="0" shapeId="0">
      <text>
        <t>Loan: BMO 1 Peterbilt 579. Closing = Opening - Principal</t>
      </text>
    </comment>
    <comment ref="C55" authorId="0" shapeId="0">
      <text>
        <t>Loan: BMO 1 Peterbilt 579, 9370133001. Source: loans.md</t>
      </text>
    </comment>
    <comment ref="D55" authorId="0" shapeId="0">
      <text>
        <t>Loan: BMO 1 Peterbilt 579. Interest = Opening * AnnualRate/12</t>
      </text>
    </comment>
    <comment ref="E55" authorId="0" shapeId="0">
      <text>
        <t>Loan: BMO 1 Peterbilt 579. Principal = Payment - Interest (capped at opening)</t>
      </text>
    </comment>
    <comment ref="F55" authorId="0" shapeId="0">
      <text>
        <t>Loan: BMO 1 Peterbilt 579. Closing = Opening - Principal</t>
      </text>
    </comment>
    <comment ref="C56" authorId="0" shapeId="0">
      <text>
        <t>Loan: BMO 1 Peterbilt 579, 9370133001. Source: loans.md</t>
      </text>
    </comment>
    <comment ref="D56" authorId="0" shapeId="0">
      <text>
        <t>Loan: BMO 1 Peterbilt 579. Interest = Opening * AnnualRate/12</t>
      </text>
    </comment>
    <comment ref="E56" authorId="0" shapeId="0">
      <text>
        <t>Loan: BMO 1 Peterbilt 579. Principal = Payment - Interest (capped at opening)</t>
      </text>
    </comment>
    <comment ref="F56" authorId="0" shapeId="0">
      <text>
        <t>Loan: BMO 1 Peterbilt 579. Closing = Opening - Principal</t>
      </text>
    </comment>
    <comment ref="C57" authorId="0" shapeId="0">
      <text>
        <t>Loan: BMO 1 Peterbilt 579, 9370133001. Source: loans.md</t>
      </text>
    </comment>
    <comment ref="D57" authorId="0" shapeId="0">
      <text>
        <t>Loan: BMO 1 Peterbilt 579. Interest = Opening * AnnualRate/12</t>
      </text>
    </comment>
    <comment ref="E57" authorId="0" shapeId="0">
      <text>
        <t>Loan: BMO 1 Peterbilt 579. Principal = Payment - Interest (capped at opening)</t>
      </text>
    </comment>
    <comment ref="F57" authorId="0" shapeId="0">
      <text>
        <t>Loan: BMO 1 Peterbilt 579. Closing = Opening - Principal</t>
      </text>
    </comment>
    <comment ref="C58" authorId="0" shapeId="0">
      <text>
        <t>Loan: BMO 1 Peterbilt 579, 9370133001. Source: loans.md</t>
      </text>
    </comment>
    <comment ref="D58" authorId="0" shapeId="0">
      <text>
        <t>Loan: BMO 1 Peterbilt 579. Interest = Opening * AnnualRate/12</t>
      </text>
    </comment>
    <comment ref="E58" authorId="0" shapeId="0">
      <text>
        <t>Loan: BMO 1 Peterbilt 579. Principal = Payment - Interest (capped at opening)</t>
      </text>
    </comment>
    <comment ref="F58" authorId="0" shapeId="0">
      <text>
        <t>Loan: BMO 1 Peterbilt 579. Closing = Opening - Principal</t>
      </text>
    </comment>
    <comment ref="C59" authorId="0" shapeId="0">
      <text>
        <t>Loan: BMO 1 Peterbilt 579, 9370133001. Source: loans.md</t>
      </text>
    </comment>
    <comment ref="D59" authorId="0" shapeId="0">
      <text>
        <t>Loan: BMO 1 Peterbilt 579. Interest = Opening * AnnualRate/12</t>
      </text>
    </comment>
    <comment ref="E59" authorId="0" shapeId="0">
      <text>
        <t>Loan: BMO 1 Peterbilt 579. Principal = Payment - Interest (capped at opening)</t>
      </text>
    </comment>
    <comment ref="F59" authorId="0" shapeId="0">
      <text>
        <t>Loan: BMO 1 Peterbilt 579. Closing = Opening - Principal</t>
      </text>
    </comment>
    <comment ref="C63" authorId="0" shapeId="0">
      <text>
        <t>Sum of rows 23: Opening balance for 2026</t>
      </text>
    </comment>
    <comment ref="D63" authorId="0" shapeId="0">
      <text>
        <t>Sum of rows 23-34: Total interest for 2026</t>
      </text>
    </comment>
    <comment ref="E63" authorId="0" shapeId="0">
      <text>
        <t>Sum of rows 23-34: Total principal for 2026</t>
      </text>
    </comment>
    <comment ref="F63" authorId="0" shapeId="0">
      <text>
        <t>Row 34: Ending balance for 2026</t>
      </text>
    </comment>
    <comment ref="C64" authorId="0" shapeId="0">
      <text>
        <t>Sum of rows 35: Opening balance for 2027</t>
      </text>
    </comment>
    <comment ref="D64" authorId="0" shapeId="0">
      <text>
        <t>Sum of rows 35-46: Total interest for 2027</t>
      </text>
    </comment>
    <comment ref="E64" authorId="0" shapeId="0">
      <text>
        <t>Sum of rows 35-46: Total principal for 2027</t>
      </text>
    </comment>
    <comment ref="F64" authorId="0" shapeId="0">
      <text>
        <t>Row 46: Ending balance for 2027</t>
      </text>
    </comment>
    <comment ref="C65" authorId="0" shapeId="0">
      <text>
        <t>Sum of rows 47: Opening balance for 2028</t>
      </text>
    </comment>
    <comment ref="D65" authorId="0" shapeId="0">
      <text>
        <t>Sum of rows 47-58: Total interest for 2028</t>
      </text>
    </comment>
    <comment ref="E65" authorId="0" shapeId="0">
      <text>
        <t>Sum of rows 47-58: Total principal for 2028</t>
      </text>
    </comment>
    <comment ref="F65" authorId="0" shapeId="0">
      <text>
        <t>Row 58: Ending balance for 2028</t>
      </text>
    </comment>
    <comment ref="C66" authorId="0" shapeId="0">
      <text>
        <t>Sum of rows 59: Opening balance for 2029</t>
      </text>
    </comment>
    <comment ref="D66" authorId="0" shapeId="0">
      <text>
        <t>Sum of rows 59-59: Total interest for 2029</t>
      </text>
    </comment>
    <comment ref="E66" authorId="0" shapeId="0">
      <text>
        <t>Sum of rows 59-59: Total principal for 2029</t>
      </text>
    </comment>
    <comment ref="F66" authorId="0" shapeId="0">
      <text>
        <t>Row 59: Ending balance for 2029</t>
      </text>
    </comment>
  </commentList>
</comments>
</file>

<file path=xl/comments/comment64.xml><?xml version="1.0" encoding="utf-8"?>
<comments xmlns="http://schemas.openxmlformats.org/spreadsheetml/2006/main">
  <authors>
    <author>Model Builder</author>
  </authors>
  <commentList>
    <comment ref="B6" authorId="0" shapeId="0">
      <text>
        <t>Source: loans.md - BMO Loan 9370474001
Balance as of 12/31/2025</t>
      </text>
    </comment>
    <comment ref="B7" authorId="0" shapeId="0">
      <text>
        <t>Source: loans.md - BMO Loan 9370474001
Fixed rate per loan agreement</t>
      </text>
    </comment>
    <comment ref="B8" authorId="0" shapeId="0">
      <text>
        <t>Source: loans.md - BMO Loan 9370474001
Fixed monthly payment</t>
      </text>
    </comment>
    <comment ref="C23" authorId="0" shapeId="0">
      <text>
        <t>Loan: BMO 6 T680 Sleepers, 9370474001. Source: loans.md</t>
      </text>
    </comment>
    <comment ref="D23" authorId="0" shapeId="0">
      <text>
        <t>Loan: BMO 6 T680 Sleepers. Interest = Opening * AnnualRate/12</t>
      </text>
    </comment>
    <comment ref="E23" authorId="0" shapeId="0">
      <text>
        <t>Loan: BMO 6 T680 Sleepers. Principal = Payment - Interest (capped at opening)</t>
      </text>
    </comment>
    <comment ref="F23" authorId="0" shapeId="0">
      <text>
        <t>Loan: BMO 6 T680 Sleepers. Closing = Opening - Principal</t>
      </text>
    </comment>
    <comment ref="C24" authorId="0" shapeId="0">
      <text>
        <t>Loan: BMO 6 T680 Sleepers, 9370474001. Source: loans.md</t>
      </text>
    </comment>
    <comment ref="D24" authorId="0" shapeId="0">
      <text>
        <t>Loan: BMO 6 T680 Sleepers. Interest = Opening * AnnualRate/12</t>
      </text>
    </comment>
    <comment ref="E24" authorId="0" shapeId="0">
      <text>
        <t>Loan: BMO 6 T680 Sleepers. Principal = Payment - Interest (capped at opening)</t>
      </text>
    </comment>
    <comment ref="F24" authorId="0" shapeId="0">
      <text>
        <t>Loan: BMO 6 T680 Sleepers. Closing = Opening - Principal</t>
      </text>
    </comment>
    <comment ref="C25" authorId="0" shapeId="0">
      <text>
        <t>Loan: BMO 6 T680 Sleepers, 9370474001. Source: loans.md</t>
      </text>
    </comment>
    <comment ref="D25" authorId="0" shapeId="0">
      <text>
        <t>Loan: BMO 6 T680 Sleepers. Interest = Opening * AnnualRate/12</t>
      </text>
    </comment>
    <comment ref="E25" authorId="0" shapeId="0">
      <text>
        <t>Loan: BMO 6 T680 Sleepers. Principal = Payment - Interest (capped at opening)</t>
      </text>
    </comment>
    <comment ref="F25" authorId="0" shapeId="0">
      <text>
        <t>Loan: BMO 6 T680 Sleepers. Closing = Opening - Principal</t>
      </text>
    </comment>
    <comment ref="C26" authorId="0" shapeId="0">
      <text>
        <t>Loan: BMO 6 T680 Sleepers, 9370474001. Source: loans.md</t>
      </text>
    </comment>
    <comment ref="D26" authorId="0" shapeId="0">
      <text>
        <t>Loan: BMO 6 T680 Sleepers. Interest = Opening * AnnualRate/12</t>
      </text>
    </comment>
    <comment ref="E26" authorId="0" shapeId="0">
      <text>
        <t>Loan: BMO 6 T680 Sleepers. Principal = Payment - Interest (capped at opening)</t>
      </text>
    </comment>
    <comment ref="F26" authorId="0" shapeId="0">
      <text>
        <t>Loan: BMO 6 T680 Sleepers. Closing = Opening - Principal</t>
      </text>
    </comment>
    <comment ref="C27" authorId="0" shapeId="0">
      <text>
        <t>Loan: BMO 6 T680 Sleepers, 9370474001. Source: loans.md</t>
      </text>
    </comment>
    <comment ref="D27" authorId="0" shapeId="0">
      <text>
        <t>Loan: BMO 6 T680 Sleepers. Interest = Opening * AnnualRate/12</t>
      </text>
    </comment>
    <comment ref="E27" authorId="0" shapeId="0">
      <text>
        <t>Loan: BMO 6 T680 Sleepers. Principal = Payment - Interest (capped at opening)</t>
      </text>
    </comment>
    <comment ref="F27" authorId="0" shapeId="0">
      <text>
        <t>Loan: BMO 6 T680 Sleepers. Closing = Opening - Principal</t>
      </text>
    </comment>
    <comment ref="C28" authorId="0" shapeId="0">
      <text>
        <t>Loan: BMO 6 T680 Sleepers, 9370474001. Source: loans.md</t>
      </text>
    </comment>
    <comment ref="D28" authorId="0" shapeId="0">
      <text>
        <t>Loan: BMO 6 T680 Sleepers. Interest = Opening * AnnualRate/12</t>
      </text>
    </comment>
    <comment ref="E28" authorId="0" shapeId="0">
      <text>
        <t>Loan: BMO 6 T680 Sleepers. Principal = Payment - Interest (capped at opening)</t>
      </text>
    </comment>
    <comment ref="F28" authorId="0" shapeId="0">
      <text>
        <t>Loan: BMO 6 T680 Sleepers. Closing = Opening - Principal</t>
      </text>
    </comment>
    <comment ref="C29" authorId="0" shapeId="0">
      <text>
        <t>Loan: BMO 6 T680 Sleepers, 9370474001. Source: loans.md</t>
      </text>
    </comment>
    <comment ref="D29" authorId="0" shapeId="0">
      <text>
        <t>Loan: BMO 6 T680 Sleepers. Interest = Opening * AnnualRate/12</t>
      </text>
    </comment>
    <comment ref="E29" authorId="0" shapeId="0">
      <text>
        <t>Loan: BMO 6 T680 Sleepers. Principal = Payment - Interest (capped at opening)</t>
      </text>
    </comment>
    <comment ref="F29" authorId="0" shapeId="0">
      <text>
        <t>Loan: BMO 6 T680 Sleepers. Closing = Opening - Principal</t>
      </text>
    </comment>
    <comment ref="C30" authorId="0" shapeId="0">
      <text>
        <t>Loan: BMO 6 T680 Sleepers, 9370474001. Source: loans.md</t>
      </text>
    </comment>
    <comment ref="D30" authorId="0" shapeId="0">
      <text>
        <t>Loan: BMO 6 T680 Sleepers. Interest = Opening * AnnualRate/12</t>
      </text>
    </comment>
    <comment ref="E30" authorId="0" shapeId="0">
      <text>
        <t>Loan: BMO 6 T680 Sleepers. Principal = Payment - Interest (capped at opening)</t>
      </text>
    </comment>
    <comment ref="F30" authorId="0" shapeId="0">
      <text>
        <t>Loan: BMO 6 T680 Sleepers. Closing = Opening - Principal</t>
      </text>
    </comment>
    <comment ref="C31" authorId="0" shapeId="0">
      <text>
        <t>Loan: BMO 6 T680 Sleepers, 9370474001. Source: loans.md</t>
      </text>
    </comment>
    <comment ref="D31" authorId="0" shapeId="0">
      <text>
        <t>Loan: BMO 6 T680 Sleepers. Interest = Opening * AnnualRate/12</t>
      </text>
    </comment>
    <comment ref="E31" authorId="0" shapeId="0">
      <text>
        <t>Loan: BMO 6 T680 Sleepers. Principal = Payment - Interest (capped at opening)</t>
      </text>
    </comment>
    <comment ref="F31" authorId="0" shapeId="0">
      <text>
        <t>Loan: BMO 6 T680 Sleepers. Closing = Opening - Principal</t>
      </text>
    </comment>
    <comment ref="C32" authorId="0" shapeId="0">
      <text>
        <t>Loan: BMO 6 T680 Sleepers, 9370474001. Source: loans.md</t>
      </text>
    </comment>
    <comment ref="D32" authorId="0" shapeId="0">
      <text>
        <t>Loan: BMO 6 T680 Sleepers. Interest = Opening * AnnualRate/12</t>
      </text>
    </comment>
    <comment ref="E32" authorId="0" shapeId="0">
      <text>
        <t>Loan: BMO 6 T680 Sleepers. Principal = Payment - Interest (capped at opening)</t>
      </text>
    </comment>
    <comment ref="F32" authorId="0" shapeId="0">
      <text>
        <t>Loan: BMO 6 T680 Sleepers. Closing = Opening - Principal</t>
      </text>
    </comment>
    <comment ref="C33" authorId="0" shapeId="0">
      <text>
        <t>Loan: BMO 6 T680 Sleepers, 9370474001. Source: loans.md</t>
      </text>
    </comment>
    <comment ref="D33" authorId="0" shapeId="0">
      <text>
        <t>Loan: BMO 6 T680 Sleepers. Interest = Opening * AnnualRate/12</t>
      </text>
    </comment>
    <comment ref="E33" authorId="0" shapeId="0">
      <text>
        <t>Loan: BMO 6 T680 Sleepers. Principal = Payment - Interest (capped at opening)</t>
      </text>
    </comment>
    <comment ref="F33" authorId="0" shapeId="0">
      <text>
        <t>Loan: BMO 6 T680 Sleepers. Closing = Opening - Principal</t>
      </text>
    </comment>
    <comment ref="C34" authorId="0" shapeId="0">
      <text>
        <t>Loan: BMO 6 T680 Sleepers, 9370474001. Source: loans.md</t>
      </text>
    </comment>
    <comment ref="D34" authorId="0" shapeId="0">
      <text>
        <t>Loan: BMO 6 T680 Sleepers. Interest = Opening * AnnualRate/12</t>
      </text>
    </comment>
    <comment ref="E34" authorId="0" shapeId="0">
      <text>
        <t>Loan: BMO 6 T680 Sleepers. Principal = Payment - Interest (capped at opening)</t>
      </text>
    </comment>
    <comment ref="F34" authorId="0" shapeId="0">
      <text>
        <t>Loan: BMO 6 T680 Sleepers. Closing = Opening - Principal</t>
      </text>
    </comment>
    <comment ref="C35" authorId="0" shapeId="0">
      <text>
        <t>Loan: BMO 6 T680 Sleepers, 9370474001. Source: loans.md</t>
      </text>
    </comment>
    <comment ref="D35" authorId="0" shapeId="0">
      <text>
        <t>Loan: BMO 6 T680 Sleepers. Interest = Opening * AnnualRate/12</t>
      </text>
    </comment>
    <comment ref="E35" authorId="0" shapeId="0">
      <text>
        <t>Loan: BMO 6 T680 Sleepers. Principal = Payment - Interest (capped at opening)</t>
      </text>
    </comment>
    <comment ref="F35" authorId="0" shapeId="0">
      <text>
        <t>Loan: BMO 6 T680 Sleepers. Closing = Opening - Principal</t>
      </text>
    </comment>
    <comment ref="C36" authorId="0" shapeId="0">
      <text>
        <t>Loan: BMO 6 T680 Sleepers, 9370474001. Source: loans.md</t>
      </text>
    </comment>
    <comment ref="D36" authorId="0" shapeId="0">
      <text>
        <t>Loan: BMO 6 T680 Sleepers. Interest = Opening * AnnualRate/12</t>
      </text>
    </comment>
    <comment ref="E36" authorId="0" shapeId="0">
      <text>
        <t>Loan: BMO 6 T680 Sleepers. Principal = Payment - Interest (capped at opening)</t>
      </text>
    </comment>
    <comment ref="F36" authorId="0" shapeId="0">
      <text>
        <t>Loan: BMO 6 T680 Sleepers. Closing = Opening - Principal</t>
      </text>
    </comment>
    <comment ref="C37" authorId="0" shapeId="0">
      <text>
        <t>Loan: BMO 6 T680 Sleepers, 9370474001. Source: loans.md</t>
      </text>
    </comment>
    <comment ref="D37" authorId="0" shapeId="0">
      <text>
        <t>Loan: BMO 6 T680 Sleepers. Interest = Opening * AnnualRate/12</t>
      </text>
    </comment>
    <comment ref="E37" authorId="0" shapeId="0">
      <text>
        <t>Loan: BMO 6 T680 Sleepers. Principal = Payment - Interest (capped at opening)</t>
      </text>
    </comment>
    <comment ref="F37" authorId="0" shapeId="0">
      <text>
        <t>Loan: BMO 6 T680 Sleepers. Closing = Opening - Principal</t>
      </text>
    </comment>
    <comment ref="C38" authorId="0" shapeId="0">
      <text>
        <t>Loan: BMO 6 T680 Sleepers, 9370474001. Source: loans.md</t>
      </text>
    </comment>
    <comment ref="D38" authorId="0" shapeId="0">
      <text>
        <t>Loan: BMO 6 T680 Sleepers. Interest = Opening * AnnualRate/12</t>
      </text>
    </comment>
    <comment ref="E38" authorId="0" shapeId="0">
      <text>
        <t>Loan: BMO 6 T680 Sleepers. Principal = Payment - Interest (capped at opening)</t>
      </text>
    </comment>
    <comment ref="F38" authorId="0" shapeId="0">
      <text>
        <t>Loan: BMO 6 T680 Sleepers. Closing = Opening - Principal</t>
      </text>
    </comment>
    <comment ref="C39" authorId="0" shapeId="0">
      <text>
        <t>Loan: BMO 6 T680 Sleepers, 9370474001. Source: loans.md</t>
      </text>
    </comment>
    <comment ref="D39" authorId="0" shapeId="0">
      <text>
        <t>Loan: BMO 6 T680 Sleepers. Interest = Opening * AnnualRate/12</t>
      </text>
    </comment>
    <comment ref="E39" authorId="0" shapeId="0">
      <text>
        <t>Loan: BMO 6 T680 Sleepers. Principal = Payment - Interest (capped at opening)</t>
      </text>
    </comment>
    <comment ref="F39" authorId="0" shapeId="0">
      <text>
        <t>Loan: BMO 6 T680 Sleepers. Closing = Opening - Principal</t>
      </text>
    </comment>
    <comment ref="C40" authorId="0" shapeId="0">
      <text>
        <t>Loan: BMO 6 T680 Sleepers, 9370474001. Source: loans.md</t>
      </text>
    </comment>
    <comment ref="D40" authorId="0" shapeId="0">
      <text>
        <t>Loan: BMO 6 T680 Sleepers. Interest = Opening * AnnualRate/12</t>
      </text>
    </comment>
    <comment ref="E40" authorId="0" shapeId="0">
      <text>
        <t>Loan: BMO 6 T680 Sleepers. Principal = Payment - Interest (capped at opening)</t>
      </text>
    </comment>
    <comment ref="F40" authorId="0" shapeId="0">
      <text>
        <t>Loan: BMO 6 T680 Sleepers. Closing = Opening - Principal</t>
      </text>
    </comment>
    <comment ref="C41" authorId="0" shapeId="0">
      <text>
        <t>Loan: BMO 6 T680 Sleepers, 9370474001. Source: loans.md</t>
      </text>
    </comment>
    <comment ref="D41" authorId="0" shapeId="0">
      <text>
        <t>Loan: BMO 6 T680 Sleepers. Interest = Opening * AnnualRate/12</t>
      </text>
    </comment>
    <comment ref="E41" authorId="0" shapeId="0">
      <text>
        <t>Loan: BMO 6 T680 Sleepers. Principal = Payment - Interest (capped at opening)</t>
      </text>
    </comment>
    <comment ref="F41" authorId="0" shapeId="0">
      <text>
        <t>Loan: BMO 6 T680 Sleepers. Closing = Opening - Principal</t>
      </text>
    </comment>
    <comment ref="C42" authorId="0" shapeId="0">
      <text>
        <t>Loan: BMO 6 T680 Sleepers, 9370474001. Source: loans.md</t>
      </text>
    </comment>
    <comment ref="D42" authorId="0" shapeId="0">
      <text>
        <t>Loan: BMO 6 T680 Sleepers. Interest = Opening * AnnualRate/12</t>
      </text>
    </comment>
    <comment ref="E42" authorId="0" shapeId="0">
      <text>
        <t>Loan: BMO 6 T680 Sleepers. Principal = Payment - Interest (capped at opening)</t>
      </text>
    </comment>
    <comment ref="F42" authorId="0" shapeId="0">
      <text>
        <t>Loan: BMO 6 T680 Sleepers. Closing = Opening - Principal</t>
      </text>
    </comment>
    <comment ref="C43" authorId="0" shapeId="0">
      <text>
        <t>Loan: BMO 6 T680 Sleepers, 9370474001. Source: loans.md</t>
      </text>
    </comment>
    <comment ref="D43" authorId="0" shapeId="0">
      <text>
        <t>Loan: BMO 6 T680 Sleepers. Interest = Opening * AnnualRate/12</t>
      </text>
    </comment>
    <comment ref="E43" authorId="0" shapeId="0">
      <text>
        <t>Loan: BMO 6 T680 Sleepers. Principal = Payment - Interest (capped at opening)</t>
      </text>
    </comment>
    <comment ref="F43" authorId="0" shapeId="0">
      <text>
        <t>Loan: BMO 6 T680 Sleepers. Closing = Opening - Principal</t>
      </text>
    </comment>
    <comment ref="C44" authorId="0" shapeId="0">
      <text>
        <t>Loan: BMO 6 T680 Sleepers, 9370474001. Source: loans.md</t>
      </text>
    </comment>
    <comment ref="D44" authorId="0" shapeId="0">
      <text>
        <t>Loan: BMO 6 T680 Sleepers. Interest = Opening * AnnualRate/12</t>
      </text>
    </comment>
    <comment ref="E44" authorId="0" shapeId="0">
      <text>
        <t>Loan: BMO 6 T680 Sleepers. Principal = Payment - Interest (capped at opening)</t>
      </text>
    </comment>
    <comment ref="F44" authorId="0" shapeId="0">
      <text>
        <t>Loan: BMO 6 T680 Sleepers. Closing = Opening - Principal</t>
      </text>
    </comment>
    <comment ref="C45" authorId="0" shapeId="0">
      <text>
        <t>Loan: BMO 6 T680 Sleepers, 9370474001. Source: loans.md</t>
      </text>
    </comment>
    <comment ref="D45" authorId="0" shapeId="0">
      <text>
        <t>Loan: BMO 6 T680 Sleepers. Interest = Opening * AnnualRate/12</t>
      </text>
    </comment>
    <comment ref="E45" authorId="0" shapeId="0">
      <text>
        <t>Loan: BMO 6 T680 Sleepers. Principal = Payment - Interest (capped at opening)</t>
      </text>
    </comment>
    <comment ref="F45" authorId="0" shapeId="0">
      <text>
        <t>Loan: BMO 6 T680 Sleepers. Closing = Opening - Principal</t>
      </text>
    </comment>
    <comment ref="C46" authorId="0" shapeId="0">
      <text>
        <t>Loan: BMO 6 T680 Sleepers, 9370474001. Source: loans.md</t>
      </text>
    </comment>
    <comment ref="D46" authorId="0" shapeId="0">
      <text>
        <t>Loan: BMO 6 T680 Sleepers. Interest = Opening * AnnualRate/12</t>
      </text>
    </comment>
    <comment ref="E46" authorId="0" shapeId="0">
      <text>
        <t>Loan: BMO 6 T680 Sleepers. Principal = Payment - Interest (capped at opening)</t>
      </text>
    </comment>
    <comment ref="F46" authorId="0" shapeId="0">
      <text>
        <t>Loan: BMO 6 T680 Sleepers. Closing = Opening - Principal</t>
      </text>
    </comment>
    <comment ref="C47" authorId="0" shapeId="0">
      <text>
        <t>Loan: BMO 6 T680 Sleepers, 9370474001. Source: loans.md</t>
      </text>
    </comment>
    <comment ref="D47" authorId="0" shapeId="0">
      <text>
        <t>Loan: BMO 6 T680 Sleepers. Interest = Opening * AnnualRate/12</t>
      </text>
    </comment>
    <comment ref="E47" authorId="0" shapeId="0">
      <text>
        <t>Loan: BMO 6 T680 Sleepers. Principal = Payment - Interest (capped at opening)</t>
      </text>
    </comment>
    <comment ref="F47" authorId="0" shapeId="0">
      <text>
        <t>Loan: BMO 6 T680 Sleepers. Closing = Opening - Principal</t>
      </text>
    </comment>
    <comment ref="C48" authorId="0" shapeId="0">
      <text>
        <t>Loan: BMO 6 T680 Sleepers, 9370474001. Source: loans.md</t>
      </text>
    </comment>
    <comment ref="D48" authorId="0" shapeId="0">
      <text>
        <t>Loan: BMO 6 T680 Sleepers. Interest = Opening * AnnualRate/12</t>
      </text>
    </comment>
    <comment ref="E48" authorId="0" shapeId="0">
      <text>
        <t>Loan: BMO 6 T680 Sleepers. Principal = Payment - Interest (capped at opening)</t>
      </text>
    </comment>
    <comment ref="F48" authorId="0" shapeId="0">
      <text>
        <t>Loan: BMO 6 T680 Sleepers. Closing = Opening - Principal</t>
      </text>
    </comment>
    <comment ref="C49" authorId="0" shapeId="0">
      <text>
        <t>Loan: BMO 6 T680 Sleepers, 9370474001. Source: loans.md</t>
      </text>
    </comment>
    <comment ref="D49" authorId="0" shapeId="0">
      <text>
        <t>Loan: BMO 6 T680 Sleepers. Interest = Opening * AnnualRate/12</t>
      </text>
    </comment>
    <comment ref="E49" authorId="0" shapeId="0">
      <text>
        <t>Loan: BMO 6 T680 Sleepers. Principal = Payment - Interest (capped at opening)</t>
      </text>
    </comment>
    <comment ref="F49" authorId="0" shapeId="0">
      <text>
        <t>Loan: BMO 6 T680 Sleepers. Closing = Opening - Principal</t>
      </text>
    </comment>
    <comment ref="C50" authorId="0" shapeId="0">
      <text>
        <t>Loan: BMO 6 T680 Sleepers, 9370474001. Source: loans.md</t>
      </text>
    </comment>
    <comment ref="D50" authorId="0" shapeId="0">
      <text>
        <t>Loan: BMO 6 T680 Sleepers. Interest = Opening * AnnualRate/12</t>
      </text>
    </comment>
    <comment ref="E50" authorId="0" shapeId="0">
      <text>
        <t>Loan: BMO 6 T680 Sleepers. Principal = Payment - Interest (capped at opening)</t>
      </text>
    </comment>
    <comment ref="F50" authorId="0" shapeId="0">
      <text>
        <t>Loan: BMO 6 T680 Sleepers. Closing = Opening - Principal</t>
      </text>
    </comment>
    <comment ref="C51" authorId="0" shapeId="0">
      <text>
        <t>Loan: BMO 6 T680 Sleepers, 9370474001. Source: loans.md</t>
      </text>
    </comment>
    <comment ref="D51" authorId="0" shapeId="0">
      <text>
        <t>Loan: BMO 6 T680 Sleepers. Interest = Opening * AnnualRate/12</t>
      </text>
    </comment>
    <comment ref="E51" authorId="0" shapeId="0">
      <text>
        <t>Loan: BMO 6 T680 Sleepers. Principal = Payment - Interest (capped at opening)</t>
      </text>
    </comment>
    <comment ref="F51" authorId="0" shapeId="0">
      <text>
        <t>Loan: BMO 6 T680 Sleepers. Closing = Opening - Principal</t>
      </text>
    </comment>
    <comment ref="C52" authorId="0" shapeId="0">
      <text>
        <t>Loan: BMO 6 T680 Sleepers, 9370474001. Source: loans.md</t>
      </text>
    </comment>
    <comment ref="D52" authorId="0" shapeId="0">
      <text>
        <t>Loan: BMO 6 T680 Sleepers. Interest = Opening * AnnualRate/12</t>
      </text>
    </comment>
    <comment ref="E52" authorId="0" shapeId="0">
      <text>
        <t>Loan: BMO 6 T680 Sleepers. Principal = Payment - Interest (capped at opening)</t>
      </text>
    </comment>
    <comment ref="F52" authorId="0" shapeId="0">
      <text>
        <t>Loan: BMO 6 T680 Sleepers. Closing = Opening - Principal</t>
      </text>
    </comment>
    <comment ref="C53" authorId="0" shapeId="0">
      <text>
        <t>Loan: BMO 6 T680 Sleepers, 9370474001. Source: loans.md</t>
      </text>
    </comment>
    <comment ref="D53" authorId="0" shapeId="0">
      <text>
        <t>Loan: BMO 6 T680 Sleepers. Interest = Opening * AnnualRate/12</t>
      </text>
    </comment>
    <comment ref="E53" authorId="0" shapeId="0">
      <text>
        <t>Loan: BMO 6 T680 Sleepers. Principal = Payment - Interest (capped at opening)</t>
      </text>
    </comment>
    <comment ref="F53" authorId="0" shapeId="0">
      <text>
        <t>Loan: BMO 6 T680 Sleepers. Closing = Opening - Principal</t>
      </text>
    </comment>
    <comment ref="C54" authorId="0" shapeId="0">
      <text>
        <t>Loan: BMO 6 T680 Sleepers, 9370474001. Source: loans.md</t>
      </text>
    </comment>
    <comment ref="D54" authorId="0" shapeId="0">
      <text>
        <t>Loan: BMO 6 T680 Sleepers. Interest = Opening * AnnualRate/12</t>
      </text>
    </comment>
    <comment ref="E54" authorId="0" shapeId="0">
      <text>
        <t>Loan: BMO 6 T680 Sleepers. Principal = Payment - Interest (capped at opening)</t>
      </text>
    </comment>
    <comment ref="F54" authorId="0" shapeId="0">
      <text>
        <t>Loan: BMO 6 T680 Sleepers. Closing = Opening - Principal</t>
      </text>
    </comment>
    <comment ref="C55" authorId="0" shapeId="0">
      <text>
        <t>Loan: BMO 6 T680 Sleepers, 9370474001. Source: loans.md</t>
      </text>
    </comment>
    <comment ref="D55" authorId="0" shapeId="0">
      <text>
        <t>Loan: BMO 6 T680 Sleepers. Interest = Opening * AnnualRate/12</t>
      </text>
    </comment>
    <comment ref="E55" authorId="0" shapeId="0">
      <text>
        <t>Loan: BMO 6 T680 Sleepers. Principal = Payment - Interest (capped at opening)</t>
      </text>
    </comment>
    <comment ref="F55" authorId="0" shapeId="0">
      <text>
        <t>Loan: BMO 6 T680 Sleepers. Closing = Opening - Principal</t>
      </text>
    </comment>
    <comment ref="C56" authorId="0" shapeId="0">
      <text>
        <t>Loan: BMO 6 T680 Sleepers, 9370474001. Source: loans.md</t>
      </text>
    </comment>
    <comment ref="D56" authorId="0" shapeId="0">
      <text>
        <t>Loan: BMO 6 T680 Sleepers. Interest = Opening * AnnualRate/12</t>
      </text>
    </comment>
    <comment ref="E56" authorId="0" shapeId="0">
      <text>
        <t>Loan: BMO 6 T680 Sleepers. Principal = Payment - Interest (capped at opening)</t>
      </text>
    </comment>
    <comment ref="F56" authorId="0" shapeId="0">
      <text>
        <t>Loan: BMO 6 T680 Sleepers. Closing = Opening - Principal</t>
      </text>
    </comment>
    <comment ref="C57" authorId="0" shapeId="0">
      <text>
        <t>Loan: BMO 6 T680 Sleepers, 9370474001. Source: loans.md</t>
      </text>
    </comment>
    <comment ref="D57" authorId="0" shapeId="0">
      <text>
        <t>Loan: BMO 6 T680 Sleepers. Interest = Opening * AnnualRate/12</t>
      </text>
    </comment>
    <comment ref="E57" authorId="0" shapeId="0">
      <text>
        <t>Loan: BMO 6 T680 Sleepers. Principal = Payment - Interest (capped at opening)</t>
      </text>
    </comment>
    <comment ref="F57" authorId="0" shapeId="0">
      <text>
        <t>Loan: BMO 6 T680 Sleepers. Closing = Opening - Principal</t>
      </text>
    </comment>
    <comment ref="C58" authorId="0" shapeId="0">
      <text>
        <t>Loan: BMO 6 T680 Sleepers, 9370474001. Source: loans.md</t>
      </text>
    </comment>
    <comment ref="D58" authorId="0" shapeId="0">
      <text>
        <t>Loan: BMO 6 T680 Sleepers. Interest = Opening * AnnualRate/12</t>
      </text>
    </comment>
    <comment ref="E58" authorId="0" shapeId="0">
      <text>
        <t>Loan: BMO 6 T680 Sleepers. Principal = Payment - Interest (capped at opening)</t>
      </text>
    </comment>
    <comment ref="F58" authorId="0" shapeId="0">
      <text>
        <t>Loan: BMO 6 T680 Sleepers. Closing = Opening - Principal</t>
      </text>
    </comment>
    <comment ref="C59" authorId="0" shapeId="0">
      <text>
        <t>Loan: BMO 6 T680 Sleepers, 9370474001. Source: loans.md</t>
      </text>
    </comment>
    <comment ref="D59" authorId="0" shapeId="0">
      <text>
        <t>Loan: BMO 6 T680 Sleepers. Interest = Opening * AnnualRate/12</t>
      </text>
    </comment>
    <comment ref="E59" authorId="0" shapeId="0">
      <text>
        <t>Loan: BMO 6 T680 Sleepers. Principal = Payment - Interest (capped at opening)</t>
      </text>
    </comment>
    <comment ref="F59" authorId="0" shapeId="0">
      <text>
        <t>Loan: BMO 6 T680 Sleepers. Closing = Opening - Principal</t>
      </text>
    </comment>
    <comment ref="C60" authorId="0" shapeId="0">
      <text>
        <t>Loan: BMO 6 T680 Sleepers, 9370474001. Source: loans.md</t>
      </text>
    </comment>
    <comment ref="D60" authorId="0" shapeId="0">
      <text>
        <t>Loan: BMO 6 T680 Sleepers. Interest = Opening * AnnualRate/12</t>
      </text>
    </comment>
    <comment ref="E60" authorId="0" shapeId="0">
      <text>
        <t>Loan: BMO 6 T680 Sleepers. Principal = Payment - Interest (capped at opening)</t>
      </text>
    </comment>
    <comment ref="F60" authorId="0" shapeId="0">
      <text>
        <t>Loan: BMO 6 T680 Sleepers. Closing = Opening - Principal</t>
      </text>
    </comment>
    <comment ref="C64" authorId="0" shapeId="0">
      <text>
        <t>Sum of rows 23: Opening balance for 2026</t>
      </text>
    </comment>
    <comment ref="D64" authorId="0" shapeId="0">
      <text>
        <t>Sum of rows 23-34: Total interest for 2026</t>
      </text>
    </comment>
    <comment ref="E64" authorId="0" shapeId="0">
      <text>
        <t>Sum of rows 23-34: Total principal for 2026</t>
      </text>
    </comment>
    <comment ref="F64" authorId="0" shapeId="0">
      <text>
        <t>Row 34: Ending balance for 2026</t>
      </text>
    </comment>
    <comment ref="C65" authorId="0" shapeId="0">
      <text>
        <t>Sum of rows 35: Opening balance for 2027</t>
      </text>
    </comment>
    <comment ref="D65" authorId="0" shapeId="0">
      <text>
        <t>Sum of rows 35-46: Total interest for 2027</t>
      </text>
    </comment>
    <comment ref="E65" authorId="0" shapeId="0">
      <text>
        <t>Sum of rows 35-46: Total principal for 2027</t>
      </text>
    </comment>
    <comment ref="F65" authorId="0" shapeId="0">
      <text>
        <t>Row 46: Ending balance for 2027</t>
      </text>
    </comment>
    <comment ref="C66" authorId="0" shapeId="0">
      <text>
        <t>Sum of rows 47: Opening balance for 2028</t>
      </text>
    </comment>
    <comment ref="D66" authorId="0" shapeId="0">
      <text>
        <t>Sum of rows 47-58: Total interest for 2028</t>
      </text>
    </comment>
    <comment ref="E66" authorId="0" shapeId="0">
      <text>
        <t>Sum of rows 47-58: Total principal for 2028</t>
      </text>
    </comment>
    <comment ref="F66" authorId="0" shapeId="0">
      <text>
        <t>Row 58: Ending balance for 2028</t>
      </text>
    </comment>
    <comment ref="C67" authorId="0" shapeId="0">
      <text>
        <t>Sum of rows 59: Opening balance for 2029</t>
      </text>
    </comment>
    <comment ref="D67" authorId="0" shapeId="0">
      <text>
        <t>Sum of rows 59-60: Total interest for 2029</t>
      </text>
    </comment>
    <comment ref="E67" authorId="0" shapeId="0">
      <text>
        <t>Sum of rows 59-60: Total principal for 2029</t>
      </text>
    </comment>
    <comment ref="F67" authorId="0" shapeId="0">
      <text>
        <t>Row 60: Ending balance for 2029</t>
      </text>
    </comment>
  </commentList>
</comments>
</file>

<file path=xl/comments/comment65.xml><?xml version="1.0" encoding="utf-8"?>
<comments xmlns="http://schemas.openxmlformats.org/spreadsheetml/2006/main">
  <authors>
    <author>Model Builder</author>
  </authors>
  <commentList>
    <comment ref="B2" authorId="0" shapeId="0">
      <text>
        <t>Source: Meiborg_Debt_Schedule_202512.xlsx - Loan 75
Extracted: 2026-05-14</t>
      </text>
    </comment>
    <comment ref="B6" authorId="0" shapeId="0">
      <text>
        <t>Loan: Atlantic Union Equipment Finance, AMORTIZING. Source: Meiborg_Debt_Schedule_202512.xlsx - Loan 75</t>
      </text>
    </comment>
    <comment ref="B7" authorId="0" shapeId="0">
      <text>
        <t>Current balance as of 12/31/2025. Source: Meiborg_Debt_Schedule_202512.xlsx - Loan 75</t>
      </text>
    </comment>
    <comment ref="B8" authorId="0" shapeId="0">
      <text>
        <t>Annual interest rate. Source: Meiborg_Debt_Schedule_202512.xlsx - Loan 75</t>
      </text>
    </comment>
    <comment ref="B9" authorId="0" shapeId="0">
      <text>
        <t>Fixed monthly payment. Source: Meiborg_Debt_Schedule_202512.xlsx - Loan 75</t>
      </text>
    </comment>
    <comment ref="C20" authorId="0" shapeId="0">
      <text>
        <t>Loan: Atlantic Union Equipment Finance, AMORTIZING. Source: Meiborg_Debt_Schedule_202512.xlsx - Loan 75</t>
      </text>
    </comment>
    <comment ref="D20" authorId="0" shapeId="0">
      <text>
        <t>Loan: Atlantic Union Equipment Finance, AMORTIZING. Source: Meiborg_Debt_Schedule_202512.xlsx - Loan 75</t>
      </text>
    </comment>
    <comment ref="E20" authorId="0" shapeId="0">
      <text>
        <t>Loan: Atlantic Union Equipment Finance, AMORTIZING. Source: Meiborg_Debt_Schedule_202512.xlsx - Loan 75</t>
      </text>
    </comment>
    <comment ref="F20" authorId="0" shapeId="0">
      <text>
        <t>Loan: Atlantic Union Equipment Finance, AMORTIZING. Source: Meiborg_Debt_Schedule_202512.xlsx - Loan 75</t>
      </text>
    </comment>
    <comment ref="C21" authorId="0" shapeId="0">
      <text>
        <t>Loan: Atlantic Union Equipment Finance, AMORTIZING. Source: Meiborg_Debt_Schedule_202512.xlsx - Loan 75</t>
      </text>
    </comment>
    <comment ref="D21" authorId="0" shapeId="0">
      <text>
        <t>Loan: Atlantic Union Equipment Finance, AMORTIZING. Source: Meiborg_Debt_Schedule_202512.xlsx - Loan 75</t>
      </text>
    </comment>
    <comment ref="E21" authorId="0" shapeId="0">
      <text>
        <t>Loan: Atlantic Union Equipment Finance, AMORTIZING. Source: Meiborg_Debt_Schedule_202512.xlsx - Loan 75</t>
      </text>
    </comment>
    <comment ref="F21" authorId="0" shapeId="0">
      <text>
        <t>Loan: Atlantic Union Equipment Finance, AMORTIZING. Source: Meiborg_Debt_Schedule_202512.xlsx - Loan 75</t>
      </text>
    </comment>
    <comment ref="C22" authorId="0" shapeId="0">
      <text>
        <t>Loan: Atlantic Union Equipment Finance, AMORTIZING. Source: Meiborg_Debt_Schedule_202512.xlsx - Loan 75</t>
      </text>
    </comment>
    <comment ref="D22" authorId="0" shapeId="0">
      <text>
        <t>Loan: Atlantic Union Equipment Finance, AMORTIZING. Source: Meiborg_Debt_Schedule_202512.xlsx - Loan 75</t>
      </text>
    </comment>
    <comment ref="E22" authorId="0" shapeId="0">
      <text>
        <t>Loan: Atlantic Union Equipment Finance, AMORTIZING. Source: Meiborg_Debt_Schedule_202512.xlsx - Loan 75</t>
      </text>
    </comment>
    <comment ref="F22" authorId="0" shapeId="0">
      <text>
        <t>Loan: Atlantic Union Equipment Finance, AMORTIZING. Source: Meiborg_Debt_Schedule_202512.xlsx - Loan 75</t>
      </text>
    </comment>
    <comment ref="C23" authorId="0" shapeId="0">
      <text>
        <t>Loan: Atlantic Union Equipment Finance, AMORTIZING. Source: Meiborg_Debt_Schedule_202512.xlsx - Loan 75</t>
      </text>
    </comment>
    <comment ref="D23" authorId="0" shapeId="0">
      <text>
        <t>Loan: Atlantic Union Equipment Finance, AMORTIZING. Source: Meiborg_Debt_Schedule_202512.xlsx - Loan 75</t>
      </text>
    </comment>
    <comment ref="E23" authorId="0" shapeId="0">
      <text>
        <t>Loan: Atlantic Union Equipment Finance, AMORTIZING. Source: Meiborg_Debt_Schedule_202512.xlsx - Loan 75</t>
      </text>
    </comment>
    <comment ref="F23" authorId="0" shapeId="0">
      <text>
        <t>Loan: Atlantic Union Equipment Finance, AMORTIZING. Source: Meiborg_Debt_Schedule_202512.xlsx - Loan 75</t>
      </text>
    </comment>
    <comment ref="C24" authorId="0" shapeId="0">
      <text>
        <t>Loan: Atlantic Union Equipment Finance, AMORTIZING. Source: Meiborg_Debt_Schedule_202512.xlsx - Loan 75</t>
      </text>
    </comment>
    <comment ref="D24" authorId="0" shapeId="0">
      <text>
        <t>Loan: Atlantic Union Equipment Finance, AMORTIZING. Source: Meiborg_Debt_Schedule_202512.xlsx - Loan 75</t>
      </text>
    </comment>
    <comment ref="E24" authorId="0" shapeId="0">
      <text>
        <t>Loan: Atlantic Union Equipment Finance, AMORTIZING. Source: Meiborg_Debt_Schedule_202512.xlsx - Loan 75</t>
      </text>
    </comment>
    <comment ref="F24" authorId="0" shapeId="0">
      <text>
        <t>Loan: Atlantic Union Equipment Finance, AMORTIZING. Source: Meiborg_Debt_Schedule_202512.xlsx - Loan 75</t>
      </text>
    </comment>
    <comment ref="C25" authorId="0" shapeId="0">
      <text>
        <t>Loan: Atlantic Union Equipment Finance, AMORTIZING. Source: Meiborg_Debt_Schedule_202512.xlsx - Loan 75</t>
      </text>
    </comment>
    <comment ref="D25" authorId="0" shapeId="0">
      <text>
        <t>Loan: Atlantic Union Equipment Finance, AMORTIZING. Source: Meiborg_Debt_Schedule_202512.xlsx - Loan 75</t>
      </text>
    </comment>
    <comment ref="E25" authorId="0" shapeId="0">
      <text>
        <t>Loan: Atlantic Union Equipment Finance, AMORTIZING. Source: Meiborg_Debt_Schedule_202512.xlsx - Loan 75</t>
      </text>
    </comment>
    <comment ref="F25" authorId="0" shapeId="0">
      <text>
        <t>Loan: Atlantic Union Equipment Finance, AMORTIZING. Source: Meiborg_Debt_Schedule_202512.xlsx - Loan 75</t>
      </text>
    </comment>
    <comment ref="C26" authorId="0" shapeId="0">
      <text>
        <t>Loan: Atlantic Union Equipment Finance, AMORTIZING. Source: Meiborg_Debt_Schedule_202512.xlsx - Loan 75</t>
      </text>
    </comment>
    <comment ref="D26" authorId="0" shapeId="0">
      <text>
        <t>Loan: Atlantic Union Equipment Finance, AMORTIZING. Source: Meiborg_Debt_Schedule_202512.xlsx - Loan 75</t>
      </text>
    </comment>
    <comment ref="E26" authorId="0" shapeId="0">
      <text>
        <t>Loan: Atlantic Union Equipment Finance, AMORTIZING. Source: Meiborg_Debt_Schedule_202512.xlsx - Loan 75</t>
      </text>
    </comment>
    <comment ref="F26" authorId="0" shapeId="0">
      <text>
        <t>Loan: Atlantic Union Equipment Finance, AMORTIZING. Source: Meiborg_Debt_Schedule_202512.xlsx - Loan 75</t>
      </text>
    </comment>
    <comment ref="C27" authorId="0" shapeId="0">
      <text>
        <t>Loan: Atlantic Union Equipment Finance, AMORTIZING. Source: Meiborg_Debt_Schedule_202512.xlsx - Loan 75</t>
      </text>
    </comment>
    <comment ref="D27" authorId="0" shapeId="0">
      <text>
        <t>Loan: Atlantic Union Equipment Finance, AMORTIZING. Source: Meiborg_Debt_Schedule_202512.xlsx - Loan 75</t>
      </text>
    </comment>
    <comment ref="E27" authorId="0" shapeId="0">
      <text>
        <t>Loan: Atlantic Union Equipment Finance, AMORTIZING. Source: Meiborg_Debt_Schedule_202512.xlsx - Loan 75</t>
      </text>
    </comment>
    <comment ref="F27" authorId="0" shapeId="0">
      <text>
        <t>Loan: Atlantic Union Equipment Finance, AMORTIZING. Source: Meiborg_Debt_Schedule_202512.xlsx - Loan 75</t>
      </text>
    </comment>
    <comment ref="C28" authorId="0" shapeId="0">
      <text>
        <t>Loan: Atlantic Union Equipment Finance, AMORTIZING. Source: Meiborg_Debt_Schedule_202512.xlsx - Loan 75</t>
      </text>
    </comment>
    <comment ref="D28" authorId="0" shapeId="0">
      <text>
        <t>Loan: Atlantic Union Equipment Finance, AMORTIZING. Source: Meiborg_Debt_Schedule_202512.xlsx - Loan 75</t>
      </text>
    </comment>
    <comment ref="E28" authorId="0" shapeId="0">
      <text>
        <t>Loan: Atlantic Union Equipment Finance, AMORTIZING. Source: Meiborg_Debt_Schedule_202512.xlsx - Loan 75</t>
      </text>
    </comment>
    <comment ref="F28" authorId="0" shapeId="0">
      <text>
        <t>Loan: Atlantic Union Equipment Finance, AMORTIZING. Source: Meiborg_Debt_Schedule_202512.xlsx - Loan 75</t>
      </text>
    </comment>
    <comment ref="C29" authorId="0" shapeId="0">
      <text>
        <t>Loan: Atlantic Union Equipment Finance, AMORTIZING. Source: Meiborg_Debt_Schedule_202512.xlsx - Loan 75</t>
      </text>
    </comment>
    <comment ref="D29" authorId="0" shapeId="0">
      <text>
        <t>Loan: Atlantic Union Equipment Finance, AMORTIZING. Source: Meiborg_Debt_Schedule_202512.xlsx - Loan 75</t>
      </text>
    </comment>
    <comment ref="E29" authorId="0" shapeId="0">
      <text>
        <t>Loan: Atlantic Union Equipment Finance, AMORTIZING. Source: Meiborg_Debt_Schedule_202512.xlsx - Loan 75</t>
      </text>
    </comment>
    <comment ref="F29" authorId="0" shapeId="0">
      <text>
        <t>Loan: Atlantic Union Equipment Finance, AMORTIZING. Source: Meiborg_Debt_Schedule_202512.xlsx - Loan 75</t>
      </text>
    </comment>
    <comment ref="C30" authorId="0" shapeId="0">
      <text>
        <t>Loan: Atlantic Union Equipment Finance, AMORTIZING. Source: Meiborg_Debt_Schedule_202512.xlsx - Loan 75</t>
      </text>
    </comment>
    <comment ref="D30" authorId="0" shapeId="0">
      <text>
        <t>Loan: Atlantic Union Equipment Finance, AMORTIZING. Source: Meiborg_Debt_Schedule_202512.xlsx - Loan 75</t>
      </text>
    </comment>
    <comment ref="E30" authorId="0" shapeId="0">
      <text>
        <t>Loan: Atlantic Union Equipment Finance, AMORTIZING. Source: Meiborg_Debt_Schedule_202512.xlsx - Loan 75</t>
      </text>
    </comment>
    <comment ref="F30" authorId="0" shapeId="0">
      <text>
        <t>Loan: Atlantic Union Equipment Finance, AMORTIZING. Source: Meiborg_Debt_Schedule_202512.xlsx - Loan 75</t>
      </text>
    </comment>
    <comment ref="C31" authorId="0" shapeId="0">
      <text>
        <t>Loan: Atlantic Union Equipment Finance, AMORTIZING. Source: Meiborg_Debt_Schedule_202512.xlsx - Loan 75</t>
      </text>
    </comment>
    <comment ref="D31" authorId="0" shapeId="0">
      <text>
        <t>Loan: Atlantic Union Equipment Finance, AMORTIZING. Source: Meiborg_Debt_Schedule_202512.xlsx - Loan 75</t>
      </text>
    </comment>
    <comment ref="E31" authorId="0" shapeId="0">
      <text>
        <t>Loan: Atlantic Union Equipment Finance, AMORTIZING. Source: Meiborg_Debt_Schedule_202512.xlsx - Loan 75</t>
      </text>
    </comment>
    <comment ref="F31" authorId="0" shapeId="0">
      <text>
        <t>Loan: Atlantic Union Equipment Finance, AMORTIZING. Source: Meiborg_Debt_Schedule_202512.xlsx - Loan 75</t>
      </text>
    </comment>
    <comment ref="C32" authorId="0" shapeId="0">
      <text>
        <t>Loan: Atlantic Union Equipment Finance, AMORTIZING. Source: Meiborg_Debt_Schedule_202512.xlsx - Loan 75</t>
      </text>
    </comment>
    <comment ref="D32" authorId="0" shapeId="0">
      <text>
        <t>Loan: Atlantic Union Equipment Finance, AMORTIZING. Source: Meiborg_Debt_Schedule_202512.xlsx - Loan 75</t>
      </text>
    </comment>
    <comment ref="E32" authorId="0" shapeId="0">
      <text>
        <t>Loan: Atlantic Union Equipment Finance, AMORTIZING. Source: Meiborg_Debt_Schedule_202512.xlsx - Loan 75</t>
      </text>
    </comment>
    <comment ref="F32" authorId="0" shapeId="0">
      <text>
        <t>Loan: Atlantic Union Equipment Finance, AMORTIZING. Source: Meiborg_Debt_Schedule_202512.xlsx - Loan 75</t>
      </text>
    </comment>
    <comment ref="C33" authorId="0" shapeId="0">
      <text>
        <t>Loan: Atlantic Union Equipment Finance, AMORTIZING. Source: Meiborg_Debt_Schedule_202512.xlsx - Loan 75</t>
      </text>
    </comment>
    <comment ref="D33" authorId="0" shapeId="0">
      <text>
        <t>Loan: Atlantic Union Equipment Finance, AMORTIZING. Source: Meiborg_Debt_Schedule_202512.xlsx - Loan 75</t>
      </text>
    </comment>
    <comment ref="E33" authorId="0" shapeId="0">
      <text>
        <t>Loan: Atlantic Union Equipment Finance, AMORTIZING. Source: Meiborg_Debt_Schedule_202512.xlsx - Loan 75</t>
      </text>
    </comment>
    <comment ref="F33" authorId="0" shapeId="0">
      <text>
        <t>Loan: Atlantic Union Equipment Finance, AMORTIZING. Source: Meiborg_Debt_Schedule_202512.xlsx - Loan 75</t>
      </text>
    </comment>
    <comment ref="C34" authorId="0" shapeId="0">
      <text>
        <t>Loan: Atlantic Union Equipment Finance, AMORTIZING. Source: Meiborg_Debt_Schedule_202512.xlsx - Loan 75</t>
      </text>
    </comment>
    <comment ref="D34" authorId="0" shapeId="0">
      <text>
        <t>Loan: Atlantic Union Equipment Finance, AMORTIZING. Source: Meiborg_Debt_Schedule_202512.xlsx - Loan 75</t>
      </text>
    </comment>
    <comment ref="E34" authorId="0" shapeId="0">
      <text>
        <t>Loan: Atlantic Union Equipment Finance, AMORTIZING. Source: Meiborg_Debt_Schedule_202512.xlsx - Loan 75</t>
      </text>
    </comment>
    <comment ref="F34" authorId="0" shapeId="0">
      <text>
        <t>Loan: Atlantic Union Equipment Finance, AMORTIZING. Source: Meiborg_Debt_Schedule_202512.xlsx - Loan 75</t>
      </text>
    </comment>
    <comment ref="C35" authorId="0" shapeId="0">
      <text>
        <t>Loan: Atlantic Union Equipment Finance, AMORTIZING. Source: Meiborg_Debt_Schedule_202512.xlsx - Loan 75</t>
      </text>
    </comment>
    <comment ref="D35" authorId="0" shapeId="0">
      <text>
        <t>Loan: Atlantic Union Equipment Finance, AMORTIZING. Source: Meiborg_Debt_Schedule_202512.xlsx - Loan 75</t>
      </text>
    </comment>
    <comment ref="E35" authorId="0" shapeId="0">
      <text>
        <t>Loan: Atlantic Union Equipment Finance, AMORTIZING. Source: Meiborg_Debt_Schedule_202512.xlsx - Loan 75</t>
      </text>
    </comment>
    <comment ref="F35" authorId="0" shapeId="0">
      <text>
        <t>Loan: Atlantic Union Equipment Finance, AMORTIZING. Source: Meiborg_Debt_Schedule_202512.xlsx - Loan 75</t>
      </text>
    </comment>
    <comment ref="C36" authorId="0" shapeId="0">
      <text>
        <t>Loan: Atlantic Union Equipment Finance, AMORTIZING. Source: Meiborg_Debt_Schedule_202512.xlsx - Loan 75</t>
      </text>
    </comment>
    <comment ref="D36" authorId="0" shapeId="0">
      <text>
        <t>Loan: Atlantic Union Equipment Finance, AMORTIZING. Source: Meiborg_Debt_Schedule_202512.xlsx - Loan 75</t>
      </text>
    </comment>
    <comment ref="E36" authorId="0" shapeId="0">
      <text>
        <t>Loan: Atlantic Union Equipment Finance, AMORTIZING. Source: Meiborg_Debt_Schedule_202512.xlsx - Loan 75</t>
      </text>
    </comment>
    <comment ref="F36" authorId="0" shapeId="0">
      <text>
        <t>Loan: Atlantic Union Equipment Finance, AMORTIZING. Source: Meiborg_Debt_Schedule_202512.xlsx - Loan 75</t>
      </text>
    </comment>
    <comment ref="C37" authorId="0" shapeId="0">
      <text>
        <t>Loan: Atlantic Union Equipment Finance, AMORTIZING. Source: Meiborg_Debt_Schedule_202512.xlsx - Loan 75</t>
      </text>
    </comment>
    <comment ref="D37" authorId="0" shapeId="0">
      <text>
        <t>Loan: Atlantic Union Equipment Finance, AMORTIZING. Source: Meiborg_Debt_Schedule_202512.xlsx - Loan 75</t>
      </text>
    </comment>
    <comment ref="E37" authorId="0" shapeId="0">
      <text>
        <t>Loan: Atlantic Union Equipment Finance, AMORTIZING. Source: Meiborg_Debt_Schedule_202512.xlsx - Loan 75</t>
      </text>
    </comment>
    <comment ref="F37" authorId="0" shapeId="0">
      <text>
        <t>Loan: Atlantic Union Equipment Finance, AMORTIZING. Source: Meiborg_Debt_Schedule_202512.xlsx - Loan 75</t>
      </text>
    </comment>
    <comment ref="C38" authorId="0" shapeId="0">
      <text>
        <t>Loan: Atlantic Union Equipment Finance, AMORTIZING. Source: Meiborg_Debt_Schedule_202512.xlsx - Loan 75</t>
      </text>
    </comment>
    <comment ref="D38" authorId="0" shapeId="0">
      <text>
        <t>Loan: Atlantic Union Equipment Finance, AMORTIZING. Source: Meiborg_Debt_Schedule_202512.xlsx - Loan 75</t>
      </text>
    </comment>
    <comment ref="E38" authorId="0" shapeId="0">
      <text>
        <t>Loan: Atlantic Union Equipment Finance, AMORTIZING. Source: Meiborg_Debt_Schedule_202512.xlsx - Loan 75</t>
      </text>
    </comment>
    <comment ref="F38" authorId="0" shapeId="0">
      <text>
        <t>Loan: Atlantic Union Equipment Finance, AMORTIZING. Source: Meiborg_Debt_Schedule_202512.xlsx - Loan 75</t>
      </text>
    </comment>
    <comment ref="C39" authorId="0" shapeId="0">
      <text>
        <t>Loan: Atlantic Union Equipment Finance, AMORTIZING. Source: Meiborg_Debt_Schedule_202512.xlsx - Loan 75</t>
      </text>
    </comment>
    <comment ref="D39" authorId="0" shapeId="0">
      <text>
        <t>Loan: Atlantic Union Equipment Finance, AMORTIZING. Source: Meiborg_Debt_Schedule_202512.xlsx - Loan 75</t>
      </text>
    </comment>
    <comment ref="E39" authorId="0" shapeId="0">
      <text>
        <t>Loan: Atlantic Union Equipment Finance, AMORTIZING. Source: Meiborg_Debt_Schedule_202512.xlsx - Loan 75</t>
      </text>
    </comment>
    <comment ref="F39" authorId="0" shapeId="0">
      <text>
        <t>Loan: Atlantic Union Equipment Finance, AMORTIZING. Source: Meiborg_Debt_Schedule_202512.xlsx - Loan 75</t>
      </text>
    </comment>
    <comment ref="C40" authorId="0" shapeId="0">
      <text>
        <t>Loan: Atlantic Union Equipment Finance, AMORTIZING. Source: Meiborg_Debt_Schedule_202512.xlsx - Loan 75</t>
      </text>
    </comment>
    <comment ref="D40" authorId="0" shapeId="0">
      <text>
        <t>Loan: Atlantic Union Equipment Finance, AMORTIZING. Source: Meiborg_Debt_Schedule_202512.xlsx - Loan 75</t>
      </text>
    </comment>
    <comment ref="E40" authorId="0" shapeId="0">
      <text>
        <t>Loan: Atlantic Union Equipment Finance, AMORTIZING. Source: Meiborg_Debt_Schedule_202512.xlsx - Loan 75</t>
      </text>
    </comment>
    <comment ref="F40" authorId="0" shapeId="0">
      <text>
        <t>Loan: Atlantic Union Equipment Finance, AMORTIZING. Source: Meiborg_Debt_Schedule_202512.xlsx - Loan 75</t>
      </text>
    </comment>
    <comment ref="C41" authorId="0" shapeId="0">
      <text>
        <t>Loan: Atlantic Union Equipment Finance, AMORTIZING. Source: Meiborg_Debt_Schedule_202512.xlsx - Loan 75</t>
      </text>
    </comment>
    <comment ref="D41" authorId="0" shapeId="0">
      <text>
        <t>Loan: Atlantic Union Equipment Finance, AMORTIZING. Source: Meiborg_Debt_Schedule_202512.xlsx - Loan 75</t>
      </text>
    </comment>
    <comment ref="E41" authorId="0" shapeId="0">
      <text>
        <t>Loan: Atlantic Union Equipment Finance, AMORTIZING. Source: Meiborg_Debt_Schedule_202512.xlsx - Loan 75</t>
      </text>
    </comment>
    <comment ref="F41" authorId="0" shapeId="0">
      <text>
        <t>Loan: Atlantic Union Equipment Finance, AMORTIZING. Source: Meiborg_Debt_Schedule_202512.xlsx - Loan 75</t>
      </text>
    </comment>
    <comment ref="C42" authorId="0" shapeId="0">
      <text>
        <t>Loan: Atlantic Union Equipment Finance, AMORTIZING. Source: Meiborg_Debt_Schedule_202512.xlsx - Loan 75</t>
      </text>
    </comment>
    <comment ref="D42" authorId="0" shapeId="0">
      <text>
        <t>Loan: Atlantic Union Equipment Finance, AMORTIZING. Source: Meiborg_Debt_Schedule_202512.xlsx - Loan 75</t>
      </text>
    </comment>
    <comment ref="E42" authorId="0" shapeId="0">
      <text>
        <t>Loan: Atlantic Union Equipment Finance, AMORTIZING. Source: Meiborg_Debt_Schedule_202512.xlsx - Loan 75</t>
      </text>
    </comment>
    <comment ref="F42" authorId="0" shapeId="0">
      <text>
        <t>Loan: Atlantic Union Equipment Finance, AMORTIZING. Source: Meiborg_Debt_Schedule_202512.xlsx - Loan 75</t>
      </text>
    </comment>
    <comment ref="C43" authorId="0" shapeId="0">
      <text>
        <t>Loan: Atlantic Union Equipment Finance, AMORTIZING. Source: Meiborg_Debt_Schedule_202512.xlsx - Loan 75</t>
      </text>
    </comment>
    <comment ref="D43" authorId="0" shapeId="0">
      <text>
        <t>Loan: Atlantic Union Equipment Finance, AMORTIZING. Source: Meiborg_Debt_Schedule_202512.xlsx - Loan 75</t>
      </text>
    </comment>
    <comment ref="E43" authorId="0" shapeId="0">
      <text>
        <t>Loan: Atlantic Union Equipment Finance, AMORTIZING. Source: Meiborg_Debt_Schedule_202512.xlsx - Loan 75</t>
      </text>
    </comment>
    <comment ref="F43" authorId="0" shapeId="0">
      <text>
        <t>Loan: Atlantic Union Equipment Finance, AMORTIZING. Source: Meiborg_Debt_Schedule_202512.xlsx - Loan 75</t>
      </text>
    </comment>
    <comment ref="C44" authorId="0" shapeId="0">
      <text>
        <t>Loan: Atlantic Union Equipment Finance, AMORTIZING. Source: Meiborg_Debt_Schedule_202512.xlsx - Loan 75</t>
      </text>
    </comment>
    <comment ref="D44" authorId="0" shapeId="0">
      <text>
        <t>Loan: Atlantic Union Equipment Finance, AMORTIZING. Source: Meiborg_Debt_Schedule_202512.xlsx - Loan 75</t>
      </text>
    </comment>
    <comment ref="E44" authorId="0" shapeId="0">
      <text>
        <t>Loan: Atlantic Union Equipment Finance, AMORTIZING. Source: Meiborg_Debt_Schedule_202512.xlsx - Loan 75</t>
      </text>
    </comment>
    <comment ref="F44" authorId="0" shapeId="0">
      <text>
        <t>Loan: Atlantic Union Equipment Finance, AMORTIZING. Source: Meiborg_Debt_Schedule_202512.xlsx - Loan 75</t>
      </text>
    </comment>
    <comment ref="C45" authorId="0" shapeId="0">
      <text>
        <t>Loan: Atlantic Union Equipment Finance, AMORTIZING. Source: Meiborg_Debt_Schedule_202512.xlsx - Loan 75</t>
      </text>
    </comment>
    <comment ref="D45" authorId="0" shapeId="0">
      <text>
        <t>Loan: Atlantic Union Equipment Finance, AMORTIZING. Source: Meiborg_Debt_Schedule_202512.xlsx - Loan 75</t>
      </text>
    </comment>
    <comment ref="E45" authorId="0" shapeId="0">
      <text>
        <t>Loan: Atlantic Union Equipment Finance, AMORTIZING. Source: Meiborg_Debt_Schedule_202512.xlsx - Loan 75</t>
      </text>
    </comment>
    <comment ref="F45" authorId="0" shapeId="0">
      <text>
        <t>Loan: Atlantic Union Equipment Finance, AMORTIZING. Source: Meiborg_Debt_Schedule_202512.xlsx - Loan 75</t>
      </text>
    </comment>
    <comment ref="C46" authorId="0" shapeId="0">
      <text>
        <t>Loan: Atlantic Union Equipment Finance, AMORTIZING. Source: Meiborg_Debt_Schedule_202512.xlsx - Loan 75</t>
      </text>
    </comment>
    <comment ref="D46" authorId="0" shapeId="0">
      <text>
        <t>Loan: Atlantic Union Equipment Finance, AMORTIZING. Source: Meiborg_Debt_Schedule_202512.xlsx - Loan 75</t>
      </text>
    </comment>
    <comment ref="E46" authorId="0" shapeId="0">
      <text>
        <t>Loan: Atlantic Union Equipment Finance, AMORTIZING. Source: Meiborg_Debt_Schedule_202512.xlsx - Loan 75</t>
      </text>
    </comment>
    <comment ref="F46" authorId="0" shapeId="0">
      <text>
        <t>Loan: Atlantic Union Equipment Finance, AMORTIZING. Source: Meiborg_Debt_Schedule_202512.xlsx - Loan 75</t>
      </text>
    </comment>
    <comment ref="C47" authorId="0" shapeId="0">
      <text>
        <t>Loan: Atlantic Union Equipment Finance, AMORTIZING. Source: Meiborg_Debt_Schedule_202512.xlsx - Loan 75</t>
      </text>
    </comment>
    <comment ref="D47" authorId="0" shapeId="0">
      <text>
        <t>Loan: Atlantic Union Equipment Finance, AMORTIZING. Source: Meiborg_Debt_Schedule_202512.xlsx - Loan 75</t>
      </text>
    </comment>
    <comment ref="E47" authorId="0" shapeId="0">
      <text>
        <t>Loan: Atlantic Union Equipment Finance, AMORTIZING. Source: Meiborg_Debt_Schedule_202512.xlsx - Loan 75</t>
      </text>
    </comment>
    <comment ref="F47" authorId="0" shapeId="0">
      <text>
        <t>Loan: Atlantic Union Equipment Finance, AMORTIZING. Source: Meiborg_Debt_Schedule_202512.xlsx - Loan 75</t>
      </text>
    </comment>
    <comment ref="C48" authorId="0" shapeId="0">
      <text>
        <t>Loan: Atlantic Union Equipment Finance, AMORTIZING. Source: Meiborg_Debt_Schedule_202512.xlsx - Loan 75</t>
      </text>
    </comment>
    <comment ref="D48" authorId="0" shapeId="0">
      <text>
        <t>Loan: Atlantic Union Equipment Finance, AMORTIZING. Source: Meiborg_Debt_Schedule_202512.xlsx - Loan 75</t>
      </text>
    </comment>
    <comment ref="E48" authorId="0" shapeId="0">
      <text>
        <t>Loan: Atlantic Union Equipment Finance, AMORTIZING. Source: Meiborg_Debt_Schedule_202512.xlsx - Loan 75</t>
      </text>
    </comment>
    <comment ref="F48" authorId="0" shapeId="0">
      <text>
        <t>Loan: Atlantic Union Equipment Finance, AMORTIZING. Source: Meiborg_Debt_Schedule_202512.xlsx - Loan 75</t>
      </text>
    </comment>
    <comment ref="C49" authorId="0" shapeId="0">
      <text>
        <t>Loan: Atlantic Union Equipment Finance, AMORTIZING. Source: Meiborg_Debt_Schedule_202512.xlsx - Loan 75</t>
      </text>
    </comment>
    <comment ref="D49" authorId="0" shapeId="0">
      <text>
        <t>Loan: Atlantic Union Equipment Finance, AMORTIZING. Source: Meiborg_Debt_Schedule_202512.xlsx - Loan 75</t>
      </text>
    </comment>
    <comment ref="E49" authorId="0" shapeId="0">
      <text>
        <t>Loan: Atlantic Union Equipment Finance, AMORTIZING. Source: Meiborg_Debt_Schedule_202512.xlsx - Loan 75</t>
      </text>
    </comment>
    <comment ref="F49" authorId="0" shapeId="0">
      <text>
        <t>Loan: Atlantic Union Equipment Finance, AMORTIZING. Source: Meiborg_Debt_Schedule_202512.xlsx - Loan 75</t>
      </text>
    </comment>
    <comment ref="C50" authorId="0" shapeId="0">
      <text>
        <t>Loan: Atlantic Union Equipment Finance, AMORTIZING. Source: Meiborg_Debt_Schedule_202512.xlsx - Loan 75</t>
      </text>
    </comment>
    <comment ref="D50" authorId="0" shapeId="0">
      <text>
        <t>Loan: Atlantic Union Equipment Finance, AMORTIZING. Source: Meiborg_Debt_Schedule_202512.xlsx - Loan 75</t>
      </text>
    </comment>
    <comment ref="E50" authorId="0" shapeId="0">
      <text>
        <t>Loan: Atlantic Union Equipment Finance, AMORTIZING. Source: Meiborg_Debt_Schedule_202512.xlsx - Loan 75</t>
      </text>
    </comment>
    <comment ref="F50" authorId="0" shapeId="0">
      <text>
        <t>Loan: Atlantic Union Equipment Finance, AMORTIZING. Source: Meiborg_Debt_Schedule_202512.xlsx - Loan 75</t>
      </text>
    </comment>
    <comment ref="C51" authorId="0" shapeId="0">
      <text>
        <t>Loan: Atlantic Union Equipment Finance, AMORTIZING. Source: Meiborg_Debt_Schedule_202512.xlsx - Loan 75</t>
      </text>
    </comment>
    <comment ref="D51" authorId="0" shapeId="0">
      <text>
        <t>Loan: Atlantic Union Equipment Finance, AMORTIZING. Source: Meiborg_Debt_Schedule_202512.xlsx - Loan 75</t>
      </text>
    </comment>
    <comment ref="E51" authorId="0" shapeId="0">
      <text>
        <t>Loan: Atlantic Union Equipment Finance, AMORTIZING. Source: Meiborg_Debt_Schedule_202512.xlsx - Loan 75</t>
      </text>
    </comment>
    <comment ref="F51" authorId="0" shapeId="0">
      <text>
        <t>Loan: Atlantic Union Equipment Finance, AMORTIZING. Source: Meiborg_Debt_Schedule_202512.xlsx - Loan 75</t>
      </text>
    </comment>
    <comment ref="C52" authorId="0" shapeId="0">
      <text>
        <t>Loan: Atlantic Union Equipment Finance, AMORTIZING. Source: Meiborg_Debt_Schedule_202512.xlsx - Loan 75</t>
      </text>
    </comment>
    <comment ref="D52" authorId="0" shapeId="0">
      <text>
        <t>Loan: Atlantic Union Equipment Finance, AMORTIZING. Source: Meiborg_Debt_Schedule_202512.xlsx - Loan 75</t>
      </text>
    </comment>
    <comment ref="E52" authorId="0" shapeId="0">
      <text>
        <t>Loan: Atlantic Union Equipment Finance, AMORTIZING. Source: Meiborg_Debt_Schedule_202512.xlsx - Loan 75</t>
      </text>
    </comment>
    <comment ref="F52" authorId="0" shapeId="0">
      <text>
        <t>Loan: Atlantic Union Equipment Finance, AMORTIZING. Source: Meiborg_Debt_Schedule_202512.xlsx - Loan 75</t>
      </text>
    </comment>
    <comment ref="C53" authorId="0" shapeId="0">
      <text>
        <t>Loan: Atlantic Union Equipment Finance, AMORTIZING. Source: Meiborg_Debt_Schedule_202512.xlsx - Loan 75</t>
      </text>
    </comment>
    <comment ref="D53" authorId="0" shapeId="0">
      <text>
        <t>Loan: Atlantic Union Equipment Finance, AMORTIZING. Source: Meiborg_Debt_Schedule_202512.xlsx - Loan 75</t>
      </text>
    </comment>
    <comment ref="E53" authorId="0" shapeId="0">
      <text>
        <t>Loan: Atlantic Union Equipment Finance, AMORTIZING. Source: Meiborg_Debt_Schedule_202512.xlsx - Loan 75</t>
      </text>
    </comment>
    <comment ref="F53" authorId="0" shapeId="0">
      <text>
        <t>Loan: Atlantic Union Equipment Finance, AMORTIZING. Source: Meiborg_Debt_Schedule_202512.xlsx - Loan 75</t>
      </text>
    </comment>
    <comment ref="C54" authorId="0" shapeId="0">
      <text>
        <t>Loan: Atlantic Union Equipment Finance, AMORTIZING. Source: Meiborg_Debt_Schedule_202512.xlsx - Loan 75</t>
      </text>
    </comment>
    <comment ref="D54" authorId="0" shapeId="0">
      <text>
        <t>Loan: Atlantic Union Equipment Finance, AMORTIZING. Source: Meiborg_Debt_Schedule_202512.xlsx - Loan 75</t>
      </text>
    </comment>
    <comment ref="E54" authorId="0" shapeId="0">
      <text>
        <t>Loan: Atlantic Union Equipment Finance, AMORTIZING. Source: Meiborg_Debt_Schedule_202512.xlsx - Loan 75</t>
      </text>
    </comment>
    <comment ref="F54" authorId="0" shapeId="0">
      <text>
        <t>Loan: Atlantic Union Equipment Finance, AMORTIZING. Source: Meiborg_Debt_Schedule_202512.xlsx - Loan 75</t>
      </text>
    </comment>
    <comment ref="C55" authorId="0" shapeId="0">
      <text>
        <t>Loan: Atlantic Union Equipment Finance, AMORTIZING. Source: Meiborg_Debt_Schedule_202512.xlsx - Loan 75</t>
      </text>
    </comment>
    <comment ref="D55" authorId="0" shapeId="0">
      <text>
        <t>Loan: Atlantic Union Equipment Finance, AMORTIZING. Source: Meiborg_Debt_Schedule_202512.xlsx - Loan 75</t>
      </text>
    </comment>
    <comment ref="E55" authorId="0" shapeId="0">
      <text>
        <t>Loan: Atlantic Union Equipment Finance, AMORTIZING. Source: Meiborg_Debt_Schedule_202512.xlsx - Loan 75</t>
      </text>
    </comment>
    <comment ref="F55" authorId="0" shapeId="0">
      <text>
        <t>Loan: Atlantic Union Equipment Finance, AMORTIZING. Source: Meiborg_Debt_Schedule_202512.xlsx - Loan 75</t>
      </text>
    </comment>
    <comment ref="C56" authorId="0" shapeId="0">
      <text>
        <t>Loan: Atlantic Union Equipment Finance, AMORTIZING. Source: Meiborg_Debt_Schedule_202512.xlsx - Loan 75</t>
      </text>
    </comment>
    <comment ref="D56" authorId="0" shapeId="0">
      <text>
        <t>Loan: Atlantic Union Equipment Finance, AMORTIZING. Source: Meiborg_Debt_Schedule_202512.xlsx - Loan 75</t>
      </text>
    </comment>
    <comment ref="E56" authorId="0" shapeId="0">
      <text>
        <t>Loan: Atlantic Union Equipment Finance, AMORTIZING. Source: Meiborg_Debt_Schedule_202512.xlsx - Loan 75</t>
      </text>
    </comment>
    <comment ref="F56" authorId="0" shapeId="0">
      <text>
        <t>Loan: Atlantic Union Equipment Finance, AMORTIZING. Source: Meiborg_Debt_Schedule_202512.xlsx - Loan 75</t>
      </text>
    </comment>
    <comment ref="C57" authorId="0" shapeId="0">
      <text>
        <t>Loan: Atlantic Union Equipment Finance, AMORTIZING. Source: Meiborg_Debt_Schedule_202512.xlsx - Loan 75</t>
      </text>
    </comment>
    <comment ref="D57" authorId="0" shapeId="0">
      <text>
        <t>Loan: Atlantic Union Equipment Finance, AMORTIZING. Source: Meiborg_Debt_Schedule_202512.xlsx - Loan 75</t>
      </text>
    </comment>
    <comment ref="E57" authorId="0" shapeId="0">
      <text>
        <t>Loan: Atlantic Union Equipment Finance, AMORTIZING. Source: Meiborg_Debt_Schedule_202512.xlsx - Loan 75</t>
      </text>
    </comment>
    <comment ref="F57" authorId="0" shapeId="0">
      <text>
        <t>Loan: Atlantic Union Equipment Finance, AMORTIZING. Source: Meiborg_Debt_Schedule_202512.xlsx - Loan 75</t>
      </text>
    </comment>
    <comment ref="C58" authorId="0" shapeId="0">
      <text>
        <t>Loan: Atlantic Union Equipment Finance, AMORTIZING. Source: Meiborg_Debt_Schedule_202512.xlsx - Loan 75</t>
      </text>
    </comment>
    <comment ref="D58" authorId="0" shapeId="0">
      <text>
        <t>Loan: Atlantic Union Equipment Finance, AMORTIZING. Source: Meiborg_Debt_Schedule_202512.xlsx - Loan 75</t>
      </text>
    </comment>
    <comment ref="E58" authorId="0" shapeId="0">
      <text>
        <t>Loan: Atlantic Union Equipment Finance, AMORTIZING. Source: Meiborg_Debt_Schedule_202512.xlsx - Loan 75</t>
      </text>
    </comment>
    <comment ref="F58" authorId="0" shapeId="0">
      <text>
        <t>Loan: Atlantic Union Equipment Finance, AMORTIZING. Source: Meiborg_Debt_Schedule_202512.xlsx - Loan 75</t>
      </text>
    </comment>
    <comment ref="C59" authorId="0" shapeId="0">
      <text>
        <t>Loan: Atlantic Union Equipment Finance, AMORTIZING. Source: Meiborg_Debt_Schedule_202512.xlsx - Loan 75</t>
      </text>
    </comment>
    <comment ref="D59" authorId="0" shapeId="0">
      <text>
        <t>Loan: Atlantic Union Equipment Finance, AMORTIZING. Source: Meiborg_Debt_Schedule_202512.xlsx - Loan 75</t>
      </text>
    </comment>
    <comment ref="E59" authorId="0" shapeId="0">
      <text>
        <t>Loan: Atlantic Union Equipment Finance, AMORTIZING. Source: Meiborg_Debt_Schedule_202512.xlsx - Loan 75</t>
      </text>
    </comment>
    <comment ref="F59" authorId="0" shapeId="0">
      <text>
        <t>Loan: Atlantic Union Equipment Finance, AMORTIZING. Source: Meiborg_Debt_Schedule_202512.xlsx - Loan 75</t>
      </text>
    </comment>
    <comment ref="C60" authorId="0" shapeId="0">
      <text>
        <t>Loan: Atlantic Union Equipment Finance, AMORTIZING. Source: Meiborg_Debt_Schedule_202512.xlsx - Loan 75</t>
      </text>
    </comment>
    <comment ref="D60" authorId="0" shapeId="0">
      <text>
        <t>Loan: Atlantic Union Equipment Finance, AMORTIZING. Source: Meiborg_Debt_Schedule_202512.xlsx - Loan 75</t>
      </text>
    </comment>
    <comment ref="E60" authorId="0" shapeId="0">
      <text>
        <t>Loan: Atlantic Union Equipment Finance, AMORTIZING. Source: Meiborg_Debt_Schedule_202512.xlsx - Loan 75</t>
      </text>
    </comment>
    <comment ref="F60" authorId="0" shapeId="0">
      <text>
        <t>Loan: Atlantic Union Equipment Finance, AMORTIZING. Source: Meiborg_Debt_Schedule_202512.xlsx - Loan 75</t>
      </text>
    </comment>
    <comment ref="C61" authorId="0" shapeId="0">
      <text>
        <t>Loan: Atlantic Union Equipment Finance, AMORTIZING. Source: Meiborg_Debt_Schedule_202512.xlsx - Loan 75</t>
      </text>
    </comment>
    <comment ref="D61" authorId="0" shapeId="0">
      <text>
        <t>Loan: Atlantic Union Equipment Finance, AMORTIZING. Source: Meiborg_Debt_Schedule_202512.xlsx - Loan 75</t>
      </text>
    </comment>
    <comment ref="E61" authorId="0" shapeId="0">
      <text>
        <t>Loan: Atlantic Union Equipment Finance, AMORTIZING. Source: Meiborg_Debt_Schedule_202512.xlsx - Loan 75</t>
      </text>
    </comment>
    <comment ref="F61" authorId="0" shapeId="0">
      <text>
        <t>Loan: Atlantic Union Equipment Finance, AMORTIZING. Source: Meiborg_Debt_Schedule_202512.xlsx - Loan 75</t>
      </text>
    </comment>
    <comment ref="C62" authorId="0" shapeId="0">
      <text>
        <t>Loan: Atlantic Union Equipment Finance, AMORTIZING. Source: Meiborg_Debt_Schedule_202512.xlsx - Loan 75</t>
      </text>
    </comment>
    <comment ref="D62" authorId="0" shapeId="0">
      <text>
        <t>Loan: Atlantic Union Equipment Finance, AMORTIZING. Source: Meiborg_Debt_Schedule_202512.xlsx - Loan 75</t>
      </text>
    </comment>
    <comment ref="E62" authorId="0" shapeId="0">
      <text>
        <t>Loan: Atlantic Union Equipment Finance, AMORTIZING. Source: Meiborg_Debt_Schedule_202512.xlsx - Loan 75</t>
      </text>
    </comment>
    <comment ref="F62" authorId="0" shapeId="0">
      <text>
        <t>Loan: Atlantic Union Equipment Finance, AMORTIZING. Source: Meiborg_Debt_Schedule_202512.xlsx - Loan 75</t>
      </text>
    </comment>
    <comment ref="C63" authorId="0" shapeId="0">
      <text>
        <t>Loan: Atlantic Union Equipment Finance, AMORTIZING. Source: Meiborg_Debt_Schedule_202512.xlsx - Loan 75</t>
      </text>
    </comment>
    <comment ref="D63" authorId="0" shapeId="0">
      <text>
        <t>Loan: Atlantic Union Equipment Finance, AMORTIZING. Source: Meiborg_Debt_Schedule_202512.xlsx - Loan 75</t>
      </text>
    </comment>
    <comment ref="E63" authorId="0" shapeId="0">
      <text>
        <t>Loan: Atlantic Union Equipment Finance, AMORTIZING. Source: Meiborg_Debt_Schedule_202512.xlsx - Loan 75</t>
      </text>
    </comment>
    <comment ref="F63" authorId="0" shapeId="0">
      <text>
        <t>Loan: Atlantic Union Equipment Finance, AMORTIZING. Source: Meiborg_Debt_Schedule_202512.xlsx - Loan 75</t>
      </text>
    </comment>
    <comment ref="C64" authorId="0" shapeId="0">
      <text>
        <t>Loan: Atlantic Union Equipment Finance, AMORTIZING. Source: Meiborg_Debt_Schedule_202512.xlsx - Loan 75</t>
      </text>
    </comment>
    <comment ref="D64" authorId="0" shapeId="0">
      <text>
        <t>Loan: Atlantic Union Equipment Finance, AMORTIZING. Source: Meiborg_Debt_Schedule_202512.xlsx - Loan 75</t>
      </text>
    </comment>
    <comment ref="E64" authorId="0" shapeId="0">
      <text>
        <t>Loan: Atlantic Union Equipment Finance, AMORTIZING. Source: Meiborg_Debt_Schedule_202512.xlsx - Loan 75</t>
      </text>
    </comment>
    <comment ref="F64" authorId="0" shapeId="0">
      <text>
        <t>Loan: Atlantic Union Equipment Finance, AMORTIZING. Source: Meiborg_Debt_Schedule_202512.xlsx - Loan 75</t>
      </text>
    </comment>
    <comment ref="C65" authorId="0" shapeId="0">
      <text>
        <t>Loan: Atlantic Union Equipment Finance, AMORTIZING. Source: Meiborg_Debt_Schedule_202512.xlsx - Loan 75</t>
      </text>
    </comment>
    <comment ref="D65" authorId="0" shapeId="0">
      <text>
        <t>Loan: Atlantic Union Equipment Finance, AMORTIZING. Source: Meiborg_Debt_Schedule_202512.xlsx - Loan 75</t>
      </text>
    </comment>
    <comment ref="E65" authorId="0" shapeId="0">
      <text>
        <t>Loan: Atlantic Union Equipment Finance, AMORTIZING. Source: Meiborg_Debt_Schedule_202512.xlsx - Loan 75</t>
      </text>
    </comment>
    <comment ref="F65" authorId="0" shapeId="0">
      <text>
        <t>Loan: Atlantic Union Equipment Finance, AMORTIZING. Source: Meiborg_Debt_Schedule_202512.xlsx - Loan 75</t>
      </text>
    </comment>
    <comment ref="C66" authorId="0" shapeId="0">
      <text>
        <t>Loan: Atlantic Union Equipment Finance, AMORTIZING. Source: Meiborg_Debt_Schedule_202512.xlsx - Loan 75</t>
      </text>
    </comment>
    <comment ref="D66" authorId="0" shapeId="0">
      <text>
        <t>Loan: Atlantic Union Equipment Finance, AMORTIZING. Source: Meiborg_Debt_Schedule_202512.xlsx - Loan 75</t>
      </text>
    </comment>
    <comment ref="E66" authorId="0" shapeId="0">
      <text>
        <t>Loan: Atlantic Union Equipment Finance, AMORTIZING. Source: Meiborg_Debt_Schedule_202512.xlsx - Loan 75</t>
      </text>
    </comment>
    <comment ref="F66" authorId="0" shapeId="0">
      <text>
        <t>Loan: Atlantic Union Equipment Finance, AMORTIZING. Source: Meiborg_Debt_Schedule_202512.xlsx - Loan 75</t>
      </text>
    </comment>
    <comment ref="C67" authorId="0" shapeId="0">
      <text>
        <t>Loan: Atlantic Union Equipment Finance, AMORTIZING. Source: Meiborg_Debt_Schedule_202512.xlsx - Loan 75</t>
      </text>
    </comment>
    <comment ref="D67" authorId="0" shapeId="0">
      <text>
        <t>Loan: Atlantic Union Equipment Finance, AMORTIZING. Source: Meiborg_Debt_Schedule_202512.xlsx - Loan 75</t>
      </text>
    </comment>
    <comment ref="E67" authorId="0" shapeId="0">
      <text>
        <t>Loan: Atlantic Union Equipment Finance, AMORTIZING. Source: Meiborg_Debt_Schedule_202512.xlsx - Loan 75</t>
      </text>
    </comment>
    <comment ref="F67" authorId="0" shapeId="0">
      <text>
        <t>Loan: Atlantic Union Equipment Finance, AMORTIZING. Source: Meiborg_Debt_Schedule_202512.xlsx - Loan 75</t>
      </text>
    </comment>
    <comment ref="C68" authorId="0" shapeId="0">
      <text>
        <t>Loan: Atlantic Union Equipment Finance, AMORTIZING. Source: Meiborg_Debt_Schedule_202512.xlsx - Loan 75</t>
      </text>
    </comment>
    <comment ref="D68" authorId="0" shapeId="0">
      <text>
        <t>Loan: Atlantic Union Equipment Finance, AMORTIZING. Source: Meiborg_Debt_Schedule_202512.xlsx - Loan 75</t>
      </text>
    </comment>
    <comment ref="E68" authorId="0" shapeId="0">
      <text>
        <t>Loan: Atlantic Union Equipment Finance, AMORTIZING. Source: Meiborg_Debt_Schedule_202512.xlsx - Loan 75</t>
      </text>
    </comment>
    <comment ref="F68" authorId="0" shapeId="0">
      <text>
        <t>Loan: Atlantic Union Equipment Finance, AMORTIZING. Source: Meiborg_Debt_Schedule_202512.xlsx - Loan 75</t>
      </text>
    </comment>
    <comment ref="C69" authorId="0" shapeId="0">
      <text>
        <t>Loan: Atlantic Union Equipment Finance, AMORTIZING. Source: Meiborg_Debt_Schedule_202512.xlsx - Loan 75</t>
      </text>
    </comment>
    <comment ref="D69" authorId="0" shapeId="0">
      <text>
        <t>Loan: Atlantic Union Equipment Finance, AMORTIZING. Source: Meiborg_Debt_Schedule_202512.xlsx - Loan 75</t>
      </text>
    </comment>
    <comment ref="E69" authorId="0" shapeId="0">
      <text>
        <t>Loan: Atlantic Union Equipment Finance, AMORTIZING. Source: Meiborg_Debt_Schedule_202512.xlsx - Loan 75</t>
      </text>
    </comment>
    <comment ref="F69" authorId="0" shapeId="0">
      <text>
        <t>Loan: Atlantic Union Equipment Finance, AMORTIZING. Source: Meiborg_Debt_Schedule_202512.xlsx - Loan 75</t>
      </text>
    </comment>
    <comment ref="C70" authorId="0" shapeId="0">
      <text>
        <t>Loan: Atlantic Union Equipment Finance, AMORTIZING. Source: Meiborg_Debt_Schedule_202512.xlsx - Loan 75</t>
      </text>
    </comment>
    <comment ref="D70" authorId="0" shapeId="0">
      <text>
        <t>Loan: Atlantic Union Equipment Finance, AMORTIZING. Source: Meiborg_Debt_Schedule_202512.xlsx - Loan 75</t>
      </text>
    </comment>
    <comment ref="E70" authorId="0" shapeId="0">
      <text>
        <t>Loan: Atlantic Union Equipment Finance, AMORTIZING. Source: Meiborg_Debt_Schedule_202512.xlsx - Loan 75</t>
      </text>
    </comment>
    <comment ref="F70" authorId="0" shapeId="0">
      <text>
        <t>Loan: Atlantic Union Equipment Finance, AMORTIZING. Source: Meiborg_Debt_Schedule_202512.xlsx - Loan 75</t>
      </text>
    </comment>
    <comment ref="C71" authorId="0" shapeId="0">
      <text>
        <t>Loan: Atlantic Union Equipment Finance, AMORTIZING. Source: Meiborg_Debt_Schedule_202512.xlsx - Loan 75</t>
      </text>
    </comment>
    <comment ref="D71" authorId="0" shapeId="0">
      <text>
        <t>Loan: Atlantic Union Equipment Finance, AMORTIZING. Source: Meiborg_Debt_Schedule_202512.xlsx - Loan 75</t>
      </text>
    </comment>
    <comment ref="E71" authorId="0" shapeId="0">
      <text>
        <t>Loan: Atlantic Union Equipment Finance, AMORTIZING. Source: Meiborg_Debt_Schedule_202512.xlsx - Loan 75</t>
      </text>
    </comment>
    <comment ref="F71" authorId="0" shapeId="0">
      <text>
        <t>Loan: Atlantic Union Equipment Finance, AMORTIZING. Source: Meiborg_Debt_Schedule_202512.xlsx - Loan 75</t>
      </text>
    </comment>
    <comment ref="C72" authorId="0" shapeId="0">
      <text>
        <t>Loan: Atlantic Union Equipment Finance, AMORTIZING. Source: Meiborg_Debt_Schedule_202512.xlsx - Loan 75</t>
      </text>
    </comment>
    <comment ref="D72" authorId="0" shapeId="0">
      <text>
        <t>Loan: Atlantic Union Equipment Finance, AMORTIZING. Source: Meiborg_Debt_Schedule_202512.xlsx - Loan 75</t>
      </text>
    </comment>
    <comment ref="E72" authorId="0" shapeId="0">
      <text>
        <t>Loan: Atlantic Union Equipment Finance, AMORTIZING. Source: Meiborg_Debt_Schedule_202512.xlsx - Loan 75</t>
      </text>
    </comment>
    <comment ref="F72" authorId="0" shapeId="0">
      <text>
        <t>Loan: Atlantic Union Equipment Finance, AMORTIZING. Source: Meiborg_Debt_Schedule_202512.xlsx - Loan 75</t>
      </text>
    </comment>
    <comment ref="C73" authorId="0" shapeId="0">
      <text>
        <t>Loan: Atlantic Union Equipment Finance, AMORTIZING. Source: Meiborg_Debt_Schedule_202512.xlsx - Loan 75</t>
      </text>
    </comment>
    <comment ref="D73" authorId="0" shapeId="0">
      <text>
        <t>Loan: Atlantic Union Equipment Finance, AMORTIZING. Source: Meiborg_Debt_Schedule_202512.xlsx - Loan 75</t>
      </text>
    </comment>
    <comment ref="E73" authorId="0" shapeId="0">
      <text>
        <t>Loan: Atlantic Union Equipment Finance, AMORTIZING. Source: Meiborg_Debt_Schedule_202512.xlsx - Loan 75</t>
      </text>
    </comment>
    <comment ref="F73" authorId="0" shapeId="0">
      <text>
        <t>Loan: Atlantic Union Equipment Finance, AMORTIZING. Source: Meiborg_Debt_Schedule_202512.xlsx - Loan 75</t>
      </text>
    </comment>
    <comment ref="C74" authorId="0" shapeId="0">
      <text>
        <t>Loan: Atlantic Union Equipment Finance, AMORTIZING. Source: Meiborg_Debt_Schedule_202512.xlsx - Loan 75</t>
      </text>
    </comment>
    <comment ref="D74" authorId="0" shapeId="0">
      <text>
        <t>Loan: Atlantic Union Equipment Finance, AMORTIZING. Source: Meiborg_Debt_Schedule_202512.xlsx - Loan 75</t>
      </text>
    </comment>
    <comment ref="E74" authorId="0" shapeId="0">
      <text>
        <t>Loan: Atlantic Union Equipment Finance, AMORTIZING. Source: Meiborg_Debt_Schedule_202512.xlsx - Loan 75</t>
      </text>
    </comment>
    <comment ref="F74" authorId="0" shapeId="0">
      <text>
        <t>Loan: Atlantic Union Equipment Finance, AMORTIZING. Source: Meiborg_Debt_Schedule_202512.xlsx - Loan 75</t>
      </text>
    </comment>
    <comment ref="C75" authorId="0" shapeId="0">
      <text>
        <t>Loan: Atlantic Union Equipment Finance, AMORTIZING. Source: Meiborg_Debt_Schedule_202512.xlsx - Loan 75</t>
      </text>
    </comment>
    <comment ref="D75" authorId="0" shapeId="0">
      <text>
        <t>Loan: Atlantic Union Equipment Finance, AMORTIZING. Source: Meiborg_Debt_Schedule_202512.xlsx - Loan 75</t>
      </text>
    </comment>
    <comment ref="E75" authorId="0" shapeId="0">
      <text>
        <t>Loan: Atlantic Union Equipment Finance, AMORTIZING. Source: Meiborg_Debt_Schedule_202512.xlsx - Loan 75</t>
      </text>
    </comment>
    <comment ref="F75" authorId="0" shapeId="0">
      <text>
        <t>Loan: Atlantic Union Equipment Finance, AMORTIZING. Source: Meiborg_Debt_Schedule_202512.xlsx - Loan 75</t>
      </text>
    </comment>
    <comment ref="C76" authorId="0" shapeId="0">
      <text>
        <t>Loan: Atlantic Union Equipment Finance, AMORTIZING. Source: Meiborg_Debt_Schedule_202512.xlsx - Loan 75</t>
      </text>
    </comment>
    <comment ref="D76" authorId="0" shapeId="0">
      <text>
        <t>Loan: Atlantic Union Equipment Finance, AMORTIZING. Source: Meiborg_Debt_Schedule_202512.xlsx - Loan 75</t>
      </text>
    </comment>
    <comment ref="E76" authorId="0" shapeId="0">
      <text>
        <t>Loan: Atlantic Union Equipment Finance, AMORTIZING. Source: Meiborg_Debt_Schedule_202512.xlsx - Loan 75</t>
      </text>
    </comment>
    <comment ref="F76" authorId="0" shapeId="0">
      <text>
        <t>Loan: Atlantic Union Equipment Finance, AMORTIZING. Source: Meiborg_Debt_Schedule_202512.xlsx - Loan 75</t>
      </text>
    </comment>
    <comment ref="C77" authorId="0" shapeId="0">
      <text>
        <t>Loan: Atlantic Union Equipment Finance, AMORTIZING. Source: Meiborg_Debt_Schedule_202512.xlsx - Loan 75</t>
      </text>
    </comment>
    <comment ref="D77" authorId="0" shapeId="0">
      <text>
        <t>Loan: Atlantic Union Equipment Finance, AMORTIZING. Source: Meiborg_Debt_Schedule_202512.xlsx - Loan 75</t>
      </text>
    </comment>
    <comment ref="E77" authorId="0" shapeId="0">
      <text>
        <t>Loan: Atlantic Union Equipment Finance, AMORTIZING. Source: Meiborg_Debt_Schedule_202512.xlsx - Loan 75</t>
      </text>
    </comment>
    <comment ref="F77" authorId="0" shapeId="0">
      <text>
        <t>Loan: Atlantic Union Equipment Finance, AMORTIZING. Source: Meiborg_Debt_Schedule_202512.xlsx - Loan 75</t>
      </text>
    </comment>
    <comment ref="C78" authorId="0" shapeId="0">
      <text>
        <t>Loan: Atlantic Union Equipment Finance, AMORTIZING. Source: Meiborg_Debt_Schedule_202512.xlsx - Loan 75</t>
      </text>
    </comment>
    <comment ref="D78" authorId="0" shapeId="0">
      <text>
        <t>Loan: Atlantic Union Equipment Finance, AMORTIZING. Source: Meiborg_Debt_Schedule_202512.xlsx - Loan 75</t>
      </text>
    </comment>
    <comment ref="E78" authorId="0" shapeId="0">
      <text>
        <t>Loan: Atlantic Union Equipment Finance, AMORTIZING. Source: Meiborg_Debt_Schedule_202512.xlsx - Loan 75</t>
      </text>
    </comment>
    <comment ref="F78" authorId="0" shapeId="0">
      <text>
        <t>Loan: Atlantic Union Equipment Finance, AMORTIZING. Source: Meiborg_Debt_Schedule_202512.xlsx - Loan 75</t>
      </text>
    </comment>
    <comment ref="C79" authorId="0" shapeId="0">
      <text>
        <t>Loan: Atlantic Union Equipment Finance, AMORTIZING. Source: Meiborg_Debt_Schedule_202512.xlsx - Loan 75</t>
      </text>
    </comment>
    <comment ref="D79" authorId="0" shapeId="0">
      <text>
        <t>Loan: Atlantic Union Equipment Finance, AMORTIZING. Source: Meiborg_Debt_Schedule_202512.xlsx - Loan 75</t>
      </text>
    </comment>
    <comment ref="E79" authorId="0" shapeId="0">
      <text>
        <t>Loan: Atlantic Union Equipment Finance, AMORTIZING. Source: Meiborg_Debt_Schedule_202512.xlsx - Loan 75</t>
      </text>
    </comment>
    <comment ref="F79" authorId="0" shapeId="0">
      <text>
        <t>Loan: Atlantic Union Equipment Finance, AMORTIZING. Source: Meiborg_Debt_Schedule_202512.xlsx - Loan 75</t>
      </text>
    </comment>
    <comment ref="C80" authorId="0" shapeId="0">
      <text>
        <t>Loan: Atlantic Union Equipment Finance, AMORTIZING. Source: Meiborg_Debt_Schedule_202512.xlsx - Loan 75</t>
      </text>
    </comment>
    <comment ref="D80" authorId="0" shapeId="0">
      <text>
        <t>Loan: Atlantic Union Equipment Finance, AMORTIZING. Source: Meiborg_Debt_Schedule_202512.xlsx - Loan 75</t>
      </text>
    </comment>
    <comment ref="E80" authorId="0" shapeId="0">
      <text>
        <t>Loan: Atlantic Union Equipment Finance, AMORTIZING. Source: Meiborg_Debt_Schedule_202512.xlsx - Loan 75</t>
      </text>
    </comment>
    <comment ref="F80" authorId="0" shapeId="0">
      <text>
        <t>Loan: Atlantic Union Equipment Finance, AMORTIZING. Source: Meiborg_Debt_Schedule_202512.xlsx - Loan 75</t>
      </text>
    </comment>
    <comment ref="C81" authorId="0" shapeId="0">
      <text>
        <t>Loan: Atlantic Union Equipment Finance, AMORTIZING. Source: Meiborg_Debt_Schedule_202512.xlsx - Loan 75</t>
      </text>
    </comment>
    <comment ref="D81" authorId="0" shapeId="0">
      <text>
        <t>Loan: Atlantic Union Equipment Finance, AMORTIZING. Source: Meiborg_Debt_Schedule_202512.xlsx - Loan 75</t>
      </text>
    </comment>
    <comment ref="E81" authorId="0" shapeId="0">
      <text>
        <t>Loan: Atlantic Union Equipment Finance, AMORTIZING. Source: Meiborg_Debt_Schedule_202512.xlsx - Loan 75</t>
      </text>
    </comment>
    <comment ref="F81" authorId="0" shapeId="0">
      <text>
        <t>Loan: Atlantic Union Equipment Finance, AMORTIZING. Source: Meiborg_Debt_Schedule_202512.xlsx - Loan 75</t>
      </text>
    </comment>
    <comment ref="C82" authorId="0" shapeId="0">
      <text>
        <t>Loan: Atlantic Union Equipment Finance, AMORTIZING. Source: Meiborg_Debt_Schedule_202512.xlsx - Loan 75</t>
      </text>
    </comment>
    <comment ref="D82" authorId="0" shapeId="0">
      <text>
        <t>Loan: Atlantic Union Equipment Finance, AMORTIZING. Source: Meiborg_Debt_Schedule_202512.xlsx - Loan 75</t>
      </text>
    </comment>
    <comment ref="E82" authorId="0" shapeId="0">
      <text>
        <t>Loan: Atlantic Union Equipment Finance, AMORTIZING. Source: Meiborg_Debt_Schedule_202512.xlsx - Loan 75</t>
      </text>
    </comment>
    <comment ref="F82" authorId="0" shapeId="0">
      <text>
        <t>Loan: Atlantic Union Equipment Finance, AMORTIZING. Source: Meiborg_Debt_Schedule_202512.xlsx - Loan 75</t>
      </text>
    </comment>
    <comment ref="C83" authorId="0" shapeId="0">
      <text>
        <t>Loan: Atlantic Union Equipment Finance, AMORTIZING. Source: Meiborg_Debt_Schedule_202512.xlsx - Loan 75</t>
      </text>
    </comment>
    <comment ref="D83" authorId="0" shapeId="0">
      <text>
        <t>Loan: Atlantic Union Equipment Finance, AMORTIZING. Source: Meiborg_Debt_Schedule_202512.xlsx - Loan 75</t>
      </text>
    </comment>
    <comment ref="E83" authorId="0" shapeId="0">
      <text>
        <t>Loan: Atlantic Union Equipment Finance, AMORTIZING. Source: Meiborg_Debt_Schedule_202512.xlsx - Loan 75</t>
      </text>
    </comment>
    <comment ref="F83" authorId="0" shapeId="0">
      <text>
        <t>Loan: Atlantic Union Equipment Finance, AMORTIZING. Source: Meiborg_Debt_Schedule_202512.xlsx - Loan 75</t>
      </text>
    </comment>
    <comment ref="C84" authorId="0" shapeId="0">
      <text>
        <t>Loan: Atlantic Union Equipment Finance, AMORTIZING. Source: Meiborg_Debt_Schedule_202512.xlsx - Loan 75</t>
      </text>
    </comment>
    <comment ref="D84" authorId="0" shapeId="0">
      <text>
        <t>Loan: Atlantic Union Equipment Finance, AMORTIZING. Source: Meiborg_Debt_Schedule_202512.xlsx - Loan 75</t>
      </text>
    </comment>
    <comment ref="E84" authorId="0" shapeId="0">
      <text>
        <t>Loan: Atlantic Union Equipment Finance, AMORTIZING. Source: Meiborg_Debt_Schedule_202512.xlsx - Loan 75</t>
      </text>
    </comment>
    <comment ref="F84" authorId="0" shapeId="0">
      <text>
        <t>Loan: Atlantic Union Equipment Finance, AMORTIZING. Source: Meiborg_Debt_Schedule_202512.xlsx - Loan 75</t>
      </text>
    </comment>
    <comment ref="C85" authorId="0" shapeId="0">
      <text>
        <t>Loan: Atlantic Union Equipment Finance, AMORTIZING. Source: Meiborg_Debt_Schedule_202512.xlsx - Loan 75</t>
      </text>
    </comment>
    <comment ref="D85" authorId="0" shapeId="0">
      <text>
        <t>Loan: Atlantic Union Equipment Finance, AMORTIZING. Source: Meiborg_Debt_Schedule_202512.xlsx - Loan 75</t>
      </text>
    </comment>
    <comment ref="E85" authorId="0" shapeId="0">
      <text>
        <t>Loan: Atlantic Union Equipment Finance, AMORTIZING. Source: Meiborg_Debt_Schedule_202512.xlsx - Loan 75</t>
      </text>
    </comment>
    <comment ref="F85" authorId="0" shapeId="0">
      <text>
        <t>Loan: Atlantic Union Equipment Finance, AMORTIZING. Source: Meiborg_Debt_Schedule_202512.xlsx - Loan 75</t>
      </text>
    </comment>
    <comment ref="B89" authorId="0" shapeId="0">
      <text>
        <t>Sum of rows 20-23: Annual opening balance</t>
      </text>
    </comment>
    <comment ref="C89" authorId="0" shapeId="0">
      <text>
        <t>Sum of rows 20-23: Annual interest expense</t>
      </text>
    </comment>
    <comment ref="D89" authorId="0" shapeId="0">
      <text>
        <t>Sum of rows 20-23: Annual principal repaid</t>
      </text>
    </comment>
    <comment ref="E89" authorId="0" shapeId="0">
      <text>
        <t>Sum of rows 20-23: Year-end closing balance</t>
      </text>
    </comment>
    <comment ref="B90" authorId="0" shapeId="0">
      <text>
        <t>Sum of rows 24-35: Annual opening balance</t>
      </text>
    </comment>
    <comment ref="C90" authorId="0" shapeId="0">
      <text>
        <t>Sum of rows 24-35: Annual interest expense</t>
      </text>
    </comment>
    <comment ref="D90" authorId="0" shapeId="0">
      <text>
        <t>Sum of rows 24-35: Annual principal repaid</t>
      </text>
    </comment>
    <comment ref="E90" authorId="0" shapeId="0">
      <text>
        <t>Sum of rows 24-35: Year-end closing balance</t>
      </text>
    </comment>
    <comment ref="B91" authorId="0" shapeId="0">
      <text>
        <t>Sum of rows 36-47: Annual opening balance</t>
      </text>
    </comment>
    <comment ref="C91" authorId="0" shapeId="0">
      <text>
        <t>Sum of rows 36-47: Annual interest expense</t>
      </text>
    </comment>
    <comment ref="D91" authorId="0" shapeId="0">
      <text>
        <t>Sum of rows 36-47: Annual principal repaid</t>
      </text>
    </comment>
    <comment ref="E91" authorId="0" shapeId="0">
      <text>
        <t>Sum of rows 36-47: Year-end closing balance</t>
      </text>
    </comment>
    <comment ref="B92" authorId="0" shapeId="0">
      <text>
        <t>Sum of rows 48-59: Annual opening balance</t>
      </text>
    </comment>
    <comment ref="C92" authorId="0" shapeId="0">
      <text>
        <t>Sum of rows 48-59: Annual interest expense</t>
      </text>
    </comment>
    <comment ref="D92" authorId="0" shapeId="0">
      <text>
        <t>Sum of rows 48-59: Annual principal repaid</t>
      </text>
    </comment>
    <comment ref="E92" authorId="0" shapeId="0">
      <text>
        <t>Sum of rows 48-59: Year-end closing balance</t>
      </text>
    </comment>
    <comment ref="B93" authorId="0" shapeId="0">
      <text>
        <t>Sum of rows 60-71: Annual opening balance</t>
      </text>
    </comment>
    <comment ref="C93" authorId="0" shapeId="0">
      <text>
        <t>Sum of rows 60-71: Annual interest expense</t>
      </text>
    </comment>
    <comment ref="D93" authorId="0" shapeId="0">
      <text>
        <t>Sum of rows 60-71: Annual principal repaid</t>
      </text>
    </comment>
    <comment ref="E93" authorId="0" shapeId="0">
      <text>
        <t>Sum of rows 60-71: Year-end closing balance</t>
      </text>
    </comment>
    <comment ref="B94" authorId="0" shapeId="0">
      <text>
        <t>Sum of rows 72-83: Annual opening balance</t>
      </text>
    </comment>
    <comment ref="C94" authorId="0" shapeId="0">
      <text>
        <t>Sum of rows 72-83: Annual interest expense</t>
      </text>
    </comment>
    <comment ref="D94" authorId="0" shapeId="0">
      <text>
        <t>Sum of rows 72-83: Annual principal repaid</t>
      </text>
    </comment>
    <comment ref="E94" authorId="0" shapeId="0">
      <text>
        <t>Sum of rows 72-83: Year-end closing balance</t>
      </text>
    </comment>
    <comment ref="B95" authorId="0" shapeId="0">
      <text>
        <t>Sum of rows 84-85: Annual opening balance</t>
      </text>
    </comment>
    <comment ref="C95" authorId="0" shapeId="0">
      <text>
        <t>Sum of rows 84-85: Annual interest expense</t>
      </text>
    </comment>
    <comment ref="D95" authorId="0" shapeId="0">
      <text>
        <t>Sum of rows 84-85: Annual principal repaid</t>
      </text>
    </comment>
    <comment ref="E95" authorId="0" shapeId="0">
      <text>
        <t>Sum of rows 84-85: Year-end closing balance</t>
      </text>
    </comment>
    <comment ref="B97" authorId="0" shapeId="0">
      <text>
        <t>Links to: header block row 7 - Balance as of 12/31/2025</t>
      </text>
    </comment>
  </commentList>
</comments>
</file>

<file path=xl/comments/comment66.xml><?xml version="1.0" encoding="utf-8"?>
<comments xmlns="http://schemas.openxmlformats.org/spreadsheetml/2006/main">
  <authors>
    <author>Model Builder</author>
  </authors>
  <commentList>
    <comment ref="B2" authorId="0" shapeId="0">
      <text>
        <t>Source: Meiborg_Debt_Schedule_202512.xlsx - Loan 76
Extracted: 2026-05-14</t>
      </text>
    </comment>
    <comment ref="B6" authorId="0" shapeId="0">
      <text>
        <t>Loan: Atlantic Union Equipment Finance, AMORTIZING. Source: Meiborg_Debt_Schedule_202512.xlsx - Loan 76</t>
      </text>
    </comment>
    <comment ref="B7" authorId="0" shapeId="0">
      <text>
        <t>Current balance as of 12/31/2025. Source: Meiborg_Debt_Schedule_202512.xlsx - Loan 76</t>
      </text>
    </comment>
    <comment ref="B8" authorId="0" shapeId="0">
      <text>
        <t>Annual interest rate. Source: Meiborg_Debt_Schedule_202512.xlsx - Loan 76</t>
      </text>
    </comment>
    <comment ref="B9" authorId="0" shapeId="0">
      <text>
        <t>Fixed monthly payment. Source: Meiborg_Debt_Schedule_202512.xlsx - Loan 76</t>
      </text>
    </comment>
    <comment ref="C20" authorId="0" shapeId="0">
      <text>
        <t>Loan: Atlantic Union Equipment Finance, AMORTIZING. Source: Meiborg_Debt_Schedule_202512.xlsx - Loan 76</t>
      </text>
    </comment>
    <comment ref="D20" authorId="0" shapeId="0">
      <text>
        <t>Loan: Atlantic Union Equipment Finance, AMORTIZING. Source: Meiborg_Debt_Schedule_202512.xlsx - Loan 76</t>
      </text>
    </comment>
    <comment ref="E20" authorId="0" shapeId="0">
      <text>
        <t>Loan: Atlantic Union Equipment Finance, AMORTIZING. Source: Meiborg_Debt_Schedule_202512.xlsx - Loan 76</t>
      </text>
    </comment>
    <comment ref="F20" authorId="0" shapeId="0">
      <text>
        <t>Loan: Atlantic Union Equipment Finance, AMORTIZING. Source: Meiborg_Debt_Schedule_202512.xlsx - Loan 76</t>
      </text>
    </comment>
    <comment ref="C21" authorId="0" shapeId="0">
      <text>
        <t>Loan: Atlantic Union Equipment Finance, AMORTIZING. Source: Meiborg_Debt_Schedule_202512.xlsx - Loan 76</t>
      </text>
    </comment>
    <comment ref="D21" authorId="0" shapeId="0">
      <text>
        <t>Loan: Atlantic Union Equipment Finance, AMORTIZING. Source: Meiborg_Debt_Schedule_202512.xlsx - Loan 76</t>
      </text>
    </comment>
    <comment ref="E21" authorId="0" shapeId="0">
      <text>
        <t>Loan: Atlantic Union Equipment Finance, AMORTIZING. Source: Meiborg_Debt_Schedule_202512.xlsx - Loan 76</t>
      </text>
    </comment>
    <comment ref="F21" authorId="0" shapeId="0">
      <text>
        <t>Loan: Atlantic Union Equipment Finance, AMORTIZING. Source: Meiborg_Debt_Schedule_202512.xlsx - Loan 76</t>
      </text>
    </comment>
    <comment ref="C22" authorId="0" shapeId="0">
      <text>
        <t>Loan: Atlantic Union Equipment Finance, AMORTIZING. Source: Meiborg_Debt_Schedule_202512.xlsx - Loan 76</t>
      </text>
    </comment>
    <comment ref="D22" authorId="0" shapeId="0">
      <text>
        <t>Loan: Atlantic Union Equipment Finance, AMORTIZING. Source: Meiborg_Debt_Schedule_202512.xlsx - Loan 76</t>
      </text>
    </comment>
    <comment ref="E22" authorId="0" shapeId="0">
      <text>
        <t>Loan: Atlantic Union Equipment Finance, AMORTIZING. Source: Meiborg_Debt_Schedule_202512.xlsx - Loan 76</t>
      </text>
    </comment>
    <comment ref="F22" authorId="0" shapeId="0">
      <text>
        <t>Loan: Atlantic Union Equipment Finance, AMORTIZING. Source: Meiborg_Debt_Schedule_202512.xlsx - Loan 76</t>
      </text>
    </comment>
    <comment ref="C23" authorId="0" shapeId="0">
      <text>
        <t>Loan: Atlantic Union Equipment Finance, AMORTIZING. Source: Meiborg_Debt_Schedule_202512.xlsx - Loan 76</t>
      </text>
    </comment>
    <comment ref="D23" authorId="0" shapeId="0">
      <text>
        <t>Loan: Atlantic Union Equipment Finance, AMORTIZING. Source: Meiborg_Debt_Schedule_202512.xlsx - Loan 76</t>
      </text>
    </comment>
    <comment ref="E23" authorId="0" shapeId="0">
      <text>
        <t>Loan: Atlantic Union Equipment Finance, AMORTIZING. Source: Meiborg_Debt_Schedule_202512.xlsx - Loan 76</t>
      </text>
    </comment>
    <comment ref="F23" authorId="0" shapeId="0">
      <text>
        <t>Loan: Atlantic Union Equipment Finance, AMORTIZING. Source: Meiborg_Debt_Schedule_202512.xlsx - Loan 76</t>
      </text>
    </comment>
    <comment ref="C24" authorId="0" shapeId="0">
      <text>
        <t>Loan: Atlantic Union Equipment Finance, AMORTIZING. Source: Meiborg_Debt_Schedule_202512.xlsx - Loan 76</t>
      </text>
    </comment>
    <comment ref="D24" authorId="0" shapeId="0">
      <text>
        <t>Loan: Atlantic Union Equipment Finance, AMORTIZING. Source: Meiborg_Debt_Schedule_202512.xlsx - Loan 76</t>
      </text>
    </comment>
    <comment ref="E24" authorId="0" shapeId="0">
      <text>
        <t>Loan: Atlantic Union Equipment Finance, AMORTIZING. Source: Meiborg_Debt_Schedule_202512.xlsx - Loan 76</t>
      </text>
    </comment>
    <comment ref="F24" authorId="0" shapeId="0">
      <text>
        <t>Loan: Atlantic Union Equipment Finance, AMORTIZING. Source: Meiborg_Debt_Schedule_202512.xlsx - Loan 76</t>
      </text>
    </comment>
    <comment ref="C25" authorId="0" shapeId="0">
      <text>
        <t>Loan: Atlantic Union Equipment Finance, AMORTIZING. Source: Meiborg_Debt_Schedule_202512.xlsx - Loan 76</t>
      </text>
    </comment>
    <comment ref="D25" authorId="0" shapeId="0">
      <text>
        <t>Loan: Atlantic Union Equipment Finance, AMORTIZING. Source: Meiborg_Debt_Schedule_202512.xlsx - Loan 76</t>
      </text>
    </comment>
    <comment ref="E25" authorId="0" shapeId="0">
      <text>
        <t>Loan: Atlantic Union Equipment Finance, AMORTIZING. Source: Meiborg_Debt_Schedule_202512.xlsx - Loan 76</t>
      </text>
    </comment>
    <comment ref="F25" authorId="0" shapeId="0">
      <text>
        <t>Loan: Atlantic Union Equipment Finance, AMORTIZING. Source: Meiborg_Debt_Schedule_202512.xlsx - Loan 76</t>
      </text>
    </comment>
    <comment ref="C26" authorId="0" shapeId="0">
      <text>
        <t>Loan: Atlantic Union Equipment Finance, AMORTIZING. Source: Meiborg_Debt_Schedule_202512.xlsx - Loan 76</t>
      </text>
    </comment>
    <comment ref="D26" authorId="0" shapeId="0">
      <text>
        <t>Loan: Atlantic Union Equipment Finance, AMORTIZING. Source: Meiborg_Debt_Schedule_202512.xlsx - Loan 76</t>
      </text>
    </comment>
    <comment ref="E26" authorId="0" shapeId="0">
      <text>
        <t>Loan: Atlantic Union Equipment Finance, AMORTIZING. Source: Meiborg_Debt_Schedule_202512.xlsx - Loan 76</t>
      </text>
    </comment>
    <comment ref="F26" authorId="0" shapeId="0">
      <text>
        <t>Loan: Atlantic Union Equipment Finance, AMORTIZING. Source: Meiborg_Debt_Schedule_202512.xlsx - Loan 76</t>
      </text>
    </comment>
    <comment ref="C27" authorId="0" shapeId="0">
      <text>
        <t>Loan: Atlantic Union Equipment Finance, AMORTIZING. Source: Meiborg_Debt_Schedule_202512.xlsx - Loan 76</t>
      </text>
    </comment>
    <comment ref="D27" authorId="0" shapeId="0">
      <text>
        <t>Loan: Atlantic Union Equipment Finance, AMORTIZING. Source: Meiborg_Debt_Schedule_202512.xlsx - Loan 76</t>
      </text>
    </comment>
    <comment ref="E27" authorId="0" shapeId="0">
      <text>
        <t>Loan: Atlantic Union Equipment Finance, AMORTIZING. Source: Meiborg_Debt_Schedule_202512.xlsx - Loan 76</t>
      </text>
    </comment>
    <comment ref="F27" authorId="0" shapeId="0">
      <text>
        <t>Loan: Atlantic Union Equipment Finance, AMORTIZING. Source: Meiborg_Debt_Schedule_202512.xlsx - Loan 76</t>
      </text>
    </comment>
    <comment ref="C28" authorId="0" shapeId="0">
      <text>
        <t>Loan: Atlantic Union Equipment Finance, AMORTIZING. Source: Meiborg_Debt_Schedule_202512.xlsx - Loan 76</t>
      </text>
    </comment>
    <comment ref="D28" authorId="0" shapeId="0">
      <text>
        <t>Loan: Atlantic Union Equipment Finance, AMORTIZING. Source: Meiborg_Debt_Schedule_202512.xlsx - Loan 76</t>
      </text>
    </comment>
    <comment ref="E28" authorId="0" shapeId="0">
      <text>
        <t>Loan: Atlantic Union Equipment Finance, AMORTIZING. Source: Meiborg_Debt_Schedule_202512.xlsx - Loan 76</t>
      </text>
    </comment>
    <comment ref="F28" authorId="0" shapeId="0">
      <text>
        <t>Loan: Atlantic Union Equipment Finance, AMORTIZING. Source: Meiborg_Debt_Schedule_202512.xlsx - Loan 76</t>
      </text>
    </comment>
    <comment ref="C29" authorId="0" shapeId="0">
      <text>
        <t>Loan: Atlantic Union Equipment Finance, AMORTIZING. Source: Meiborg_Debt_Schedule_202512.xlsx - Loan 76</t>
      </text>
    </comment>
    <comment ref="D29" authorId="0" shapeId="0">
      <text>
        <t>Loan: Atlantic Union Equipment Finance, AMORTIZING. Source: Meiborg_Debt_Schedule_202512.xlsx - Loan 76</t>
      </text>
    </comment>
    <comment ref="E29" authorId="0" shapeId="0">
      <text>
        <t>Loan: Atlantic Union Equipment Finance, AMORTIZING. Source: Meiborg_Debt_Schedule_202512.xlsx - Loan 76</t>
      </text>
    </comment>
    <comment ref="F29" authorId="0" shapeId="0">
      <text>
        <t>Loan: Atlantic Union Equipment Finance, AMORTIZING. Source: Meiborg_Debt_Schedule_202512.xlsx - Loan 76</t>
      </text>
    </comment>
    <comment ref="C30" authorId="0" shapeId="0">
      <text>
        <t>Loan: Atlantic Union Equipment Finance, AMORTIZING. Source: Meiborg_Debt_Schedule_202512.xlsx - Loan 76</t>
      </text>
    </comment>
    <comment ref="D30" authorId="0" shapeId="0">
      <text>
        <t>Loan: Atlantic Union Equipment Finance, AMORTIZING. Source: Meiborg_Debt_Schedule_202512.xlsx - Loan 76</t>
      </text>
    </comment>
    <comment ref="E30" authorId="0" shapeId="0">
      <text>
        <t>Loan: Atlantic Union Equipment Finance, AMORTIZING. Source: Meiborg_Debt_Schedule_202512.xlsx - Loan 76</t>
      </text>
    </comment>
    <comment ref="F30" authorId="0" shapeId="0">
      <text>
        <t>Loan: Atlantic Union Equipment Finance, AMORTIZING. Source: Meiborg_Debt_Schedule_202512.xlsx - Loan 76</t>
      </text>
    </comment>
    <comment ref="C31" authorId="0" shapeId="0">
      <text>
        <t>Loan: Atlantic Union Equipment Finance, AMORTIZING. Source: Meiborg_Debt_Schedule_202512.xlsx - Loan 76</t>
      </text>
    </comment>
    <comment ref="D31" authorId="0" shapeId="0">
      <text>
        <t>Loan: Atlantic Union Equipment Finance, AMORTIZING. Source: Meiborg_Debt_Schedule_202512.xlsx - Loan 76</t>
      </text>
    </comment>
    <comment ref="E31" authorId="0" shapeId="0">
      <text>
        <t>Loan: Atlantic Union Equipment Finance, AMORTIZING. Source: Meiborg_Debt_Schedule_202512.xlsx - Loan 76</t>
      </text>
    </comment>
    <comment ref="F31" authorId="0" shapeId="0">
      <text>
        <t>Loan: Atlantic Union Equipment Finance, AMORTIZING. Source: Meiborg_Debt_Schedule_202512.xlsx - Loan 76</t>
      </text>
    </comment>
    <comment ref="C32" authorId="0" shapeId="0">
      <text>
        <t>Loan: Atlantic Union Equipment Finance, AMORTIZING. Source: Meiborg_Debt_Schedule_202512.xlsx - Loan 76</t>
      </text>
    </comment>
    <comment ref="D32" authorId="0" shapeId="0">
      <text>
        <t>Loan: Atlantic Union Equipment Finance, AMORTIZING. Source: Meiborg_Debt_Schedule_202512.xlsx - Loan 76</t>
      </text>
    </comment>
    <comment ref="E32" authorId="0" shapeId="0">
      <text>
        <t>Loan: Atlantic Union Equipment Finance, AMORTIZING. Source: Meiborg_Debt_Schedule_202512.xlsx - Loan 76</t>
      </text>
    </comment>
    <comment ref="F32" authorId="0" shapeId="0">
      <text>
        <t>Loan: Atlantic Union Equipment Finance, AMORTIZING. Source: Meiborg_Debt_Schedule_202512.xlsx - Loan 76</t>
      </text>
    </comment>
    <comment ref="C33" authorId="0" shapeId="0">
      <text>
        <t>Loan: Atlantic Union Equipment Finance, AMORTIZING. Source: Meiborg_Debt_Schedule_202512.xlsx - Loan 76</t>
      </text>
    </comment>
    <comment ref="D33" authorId="0" shapeId="0">
      <text>
        <t>Loan: Atlantic Union Equipment Finance, AMORTIZING. Source: Meiborg_Debt_Schedule_202512.xlsx - Loan 76</t>
      </text>
    </comment>
    <comment ref="E33" authorId="0" shapeId="0">
      <text>
        <t>Loan: Atlantic Union Equipment Finance, AMORTIZING. Source: Meiborg_Debt_Schedule_202512.xlsx - Loan 76</t>
      </text>
    </comment>
    <comment ref="F33" authorId="0" shapeId="0">
      <text>
        <t>Loan: Atlantic Union Equipment Finance, AMORTIZING. Source: Meiborg_Debt_Schedule_202512.xlsx - Loan 76</t>
      </text>
    </comment>
    <comment ref="C34" authorId="0" shapeId="0">
      <text>
        <t>Loan: Atlantic Union Equipment Finance, AMORTIZING. Source: Meiborg_Debt_Schedule_202512.xlsx - Loan 76</t>
      </text>
    </comment>
    <comment ref="D34" authorId="0" shapeId="0">
      <text>
        <t>Loan: Atlantic Union Equipment Finance, AMORTIZING. Source: Meiborg_Debt_Schedule_202512.xlsx - Loan 76</t>
      </text>
    </comment>
    <comment ref="E34" authorId="0" shapeId="0">
      <text>
        <t>Loan: Atlantic Union Equipment Finance, AMORTIZING. Source: Meiborg_Debt_Schedule_202512.xlsx - Loan 76</t>
      </text>
    </comment>
    <comment ref="F34" authorId="0" shapeId="0">
      <text>
        <t>Loan: Atlantic Union Equipment Finance, AMORTIZING. Source: Meiborg_Debt_Schedule_202512.xlsx - Loan 76</t>
      </text>
    </comment>
    <comment ref="C35" authorId="0" shapeId="0">
      <text>
        <t>Loan: Atlantic Union Equipment Finance, AMORTIZING. Source: Meiborg_Debt_Schedule_202512.xlsx - Loan 76</t>
      </text>
    </comment>
    <comment ref="D35" authorId="0" shapeId="0">
      <text>
        <t>Loan: Atlantic Union Equipment Finance, AMORTIZING. Source: Meiborg_Debt_Schedule_202512.xlsx - Loan 76</t>
      </text>
    </comment>
    <comment ref="E35" authorId="0" shapeId="0">
      <text>
        <t>Loan: Atlantic Union Equipment Finance, AMORTIZING. Source: Meiborg_Debt_Schedule_202512.xlsx - Loan 76</t>
      </text>
    </comment>
    <comment ref="F35" authorId="0" shapeId="0">
      <text>
        <t>Loan: Atlantic Union Equipment Finance, AMORTIZING. Source: Meiborg_Debt_Schedule_202512.xlsx - Loan 76</t>
      </text>
    </comment>
    <comment ref="C36" authorId="0" shapeId="0">
      <text>
        <t>Loan: Atlantic Union Equipment Finance, AMORTIZING. Source: Meiborg_Debt_Schedule_202512.xlsx - Loan 76</t>
      </text>
    </comment>
    <comment ref="D36" authorId="0" shapeId="0">
      <text>
        <t>Loan: Atlantic Union Equipment Finance, AMORTIZING. Source: Meiborg_Debt_Schedule_202512.xlsx - Loan 76</t>
      </text>
    </comment>
    <comment ref="E36" authorId="0" shapeId="0">
      <text>
        <t>Loan: Atlantic Union Equipment Finance, AMORTIZING. Source: Meiborg_Debt_Schedule_202512.xlsx - Loan 76</t>
      </text>
    </comment>
    <comment ref="F36" authorId="0" shapeId="0">
      <text>
        <t>Loan: Atlantic Union Equipment Finance, AMORTIZING. Source: Meiborg_Debt_Schedule_202512.xlsx - Loan 76</t>
      </text>
    </comment>
    <comment ref="C37" authorId="0" shapeId="0">
      <text>
        <t>Loan: Atlantic Union Equipment Finance, AMORTIZING. Source: Meiborg_Debt_Schedule_202512.xlsx - Loan 76</t>
      </text>
    </comment>
    <comment ref="D37" authorId="0" shapeId="0">
      <text>
        <t>Loan: Atlantic Union Equipment Finance, AMORTIZING. Source: Meiborg_Debt_Schedule_202512.xlsx - Loan 76</t>
      </text>
    </comment>
    <comment ref="E37" authorId="0" shapeId="0">
      <text>
        <t>Loan: Atlantic Union Equipment Finance, AMORTIZING. Source: Meiborg_Debt_Schedule_202512.xlsx - Loan 76</t>
      </text>
    </comment>
    <comment ref="F37" authorId="0" shapeId="0">
      <text>
        <t>Loan: Atlantic Union Equipment Finance, AMORTIZING. Source: Meiborg_Debt_Schedule_202512.xlsx - Loan 76</t>
      </text>
    </comment>
    <comment ref="C38" authorId="0" shapeId="0">
      <text>
        <t>Loan: Atlantic Union Equipment Finance, AMORTIZING. Source: Meiborg_Debt_Schedule_202512.xlsx - Loan 76</t>
      </text>
    </comment>
    <comment ref="D38" authorId="0" shapeId="0">
      <text>
        <t>Loan: Atlantic Union Equipment Finance, AMORTIZING. Source: Meiborg_Debt_Schedule_202512.xlsx - Loan 76</t>
      </text>
    </comment>
    <comment ref="E38" authorId="0" shapeId="0">
      <text>
        <t>Loan: Atlantic Union Equipment Finance, AMORTIZING. Source: Meiborg_Debt_Schedule_202512.xlsx - Loan 76</t>
      </text>
    </comment>
    <comment ref="F38" authorId="0" shapeId="0">
      <text>
        <t>Loan: Atlantic Union Equipment Finance, AMORTIZING. Source: Meiborg_Debt_Schedule_202512.xlsx - Loan 76</t>
      </text>
    </comment>
    <comment ref="C39" authorId="0" shapeId="0">
      <text>
        <t>Loan: Atlantic Union Equipment Finance, AMORTIZING. Source: Meiborg_Debt_Schedule_202512.xlsx - Loan 76</t>
      </text>
    </comment>
    <comment ref="D39" authorId="0" shapeId="0">
      <text>
        <t>Loan: Atlantic Union Equipment Finance, AMORTIZING. Source: Meiborg_Debt_Schedule_202512.xlsx - Loan 76</t>
      </text>
    </comment>
    <comment ref="E39" authorId="0" shapeId="0">
      <text>
        <t>Loan: Atlantic Union Equipment Finance, AMORTIZING. Source: Meiborg_Debt_Schedule_202512.xlsx - Loan 76</t>
      </text>
    </comment>
    <comment ref="F39" authorId="0" shapeId="0">
      <text>
        <t>Loan: Atlantic Union Equipment Finance, AMORTIZING. Source: Meiborg_Debt_Schedule_202512.xlsx - Loan 76</t>
      </text>
    </comment>
    <comment ref="C40" authorId="0" shapeId="0">
      <text>
        <t>Loan: Atlantic Union Equipment Finance, AMORTIZING. Source: Meiborg_Debt_Schedule_202512.xlsx - Loan 76</t>
      </text>
    </comment>
    <comment ref="D40" authorId="0" shapeId="0">
      <text>
        <t>Loan: Atlantic Union Equipment Finance, AMORTIZING. Source: Meiborg_Debt_Schedule_202512.xlsx - Loan 76</t>
      </text>
    </comment>
    <comment ref="E40" authorId="0" shapeId="0">
      <text>
        <t>Loan: Atlantic Union Equipment Finance, AMORTIZING. Source: Meiborg_Debt_Schedule_202512.xlsx - Loan 76</t>
      </text>
    </comment>
    <comment ref="F40" authorId="0" shapeId="0">
      <text>
        <t>Loan: Atlantic Union Equipment Finance, AMORTIZING. Source: Meiborg_Debt_Schedule_202512.xlsx - Loan 76</t>
      </text>
    </comment>
    <comment ref="C41" authorId="0" shapeId="0">
      <text>
        <t>Loan: Atlantic Union Equipment Finance, AMORTIZING. Source: Meiborg_Debt_Schedule_202512.xlsx - Loan 76</t>
      </text>
    </comment>
    <comment ref="D41" authorId="0" shapeId="0">
      <text>
        <t>Loan: Atlantic Union Equipment Finance, AMORTIZING. Source: Meiborg_Debt_Schedule_202512.xlsx - Loan 76</t>
      </text>
    </comment>
    <comment ref="E41" authorId="0" shapeId="0">
      <text>
        <t>Loan: Atlantic Union Equipment Finance, AMORTIZING. Source: Meiborg_Debt_Schedule_202512.xlsx - Loan 76</t>
      </text>
    </comment>
    <comment ref="F41" authorId="0" shapeId="0">
      <text>
        <t>Loan: Atlantic Union Equipment Finance, AMORTIZING. Source: Meiborg_Debt_Schedule_202512.xlsx - Loan 76</t>
      </text>
    </comment>
    <comment ref="C42" authorId="0" shapeId="0">
      <text>
        <t>Loan: Atlantic Union Equipment Finance, AMORTIZING. Source: Meiborg_Debt_Schedule_202512.xlsx - Loan 76</t>
      </text>
    </comment>
    <comment ref="D42" authorId="0" shapeId="0">
      <text>
        <t>Loan: Atlantic Union Equipment Finance, AMORTIZING. Source: Meiborg_Debt_Schedule_202512.xlsx - Loan 76</t>
      </text>
    </comment>
    <comment ref="E42" authorId="0" shapeId="0">
      <text>
        <t>Loan: Atlantic Union Equipment Finance, AMORTIZING. Source: Meiborg_Debt_Schedule_202512.xlsx - Loan 76</t>
      </text>
    </comment>
    <comment ref="F42" authorId="0" shapeId="0">
      <text>
        <t>Loan: Atlantic Union Equipment Finance, AMORTIZING. Source: Meiborg_Debt_Schedule_202512.xlsx - Loan 76</t>
      </text>
    </comment>
    <comment ref="C43" authorId="0" shapeId="0">
      <text>
        <t>Loan: Atlantic Union Equipment Finance, AMORTIZING. Source: Meiborg_Debt_Schedule_202512.xlsx - Loan 76</t>
      </text>
    </comment>
    <comment ref="D43" authorId="0" shapeId="0">
      <text>
        <t>Loan: Atlantic Union Equipment Finance, AMORTIZING. Source: Meiborg_Debt_Schedule_202512.xlsx - Loan 76</t>
      </text>
    </comment>
    <comment ref="E43" authorId="0" shapeId="0">
      <text>
        <t>Loan: Atlantic Union Equipment Finance, AMORTIZING. Source: Meiborg_Debt_Schedule_202512.xlsx - Loan 76</t>
      </text>
    </comment>
    <comment ref="F43" authorId="0" shapeId="0">
      <text>
        <t>Loan: Atlantic Union Equipment Finance, AMORTIZING. Source: Meiborg_Debt_Schedule_202512.xlsx - Loan 76</t>
      </text>
    </comment>
    <comment ref="C44" authorId="0" shapeId="0">
      <text>
        <t>Loan: Atlantic Union Equipment Finance, AMORTIZING. Source: Meiborg_Debt_Schedule_202512.xlsx - Loan 76</t>
      </text>
    </comment>
    <comment ref="D44" authorId="0" shapeId="0">
      <text>
        <t>Loan: Atlantic Union Equipment Finance, AMORTIZING. Source: Meiborg_Debt_Schedule_202512.xlsx - Loan 76</t>
      </text>
    </comment>
    <comment ref="E44" authorId="0" shapeId="0">
      <text>
        <t>Loan: Atlantic Union Equipment Finance, AMORTIZING. Source: Meiborg_Debt_Schedule_202512.xlsx - Loan 76</t>
      </text>
    </comment>
    <comment ref="F44" authorId="0" shapeId="0">
      <text>
        <t>Loan: Atlantic Union Equipment Finance, AMORTIZING. Source: Meiborg_Debt_Schedule_202512.xlsx - Loan 76</t>
      </text>
    </comment>
    <comment ref="C45" authorId="0" shapeId="0">
      <text>
        <t>Loan: Atlantic Union Equipment Finance, AMORTIZING. Source: Meiborg_Debt_Schedule_202512.xlsx - Loan 76</t>
      </text>
    </comment>
    <comment ref="D45" authorId="0" shapeId="0">
      <text>
        <t>Loan: Atlantic Union Equipment Finance, AMORTIZING. Source: Meiborg_Debt_Schedule_202512.xlsx - Loan 76</t>
      </text>
    </comment>
    <comment ref="E45" authorId="0" shapeId="0">
      <text>
        <t>Loan: Atlantic Union Equipment Finance, AMORTIZING. Source: Meiborg_Debt_Schedule_202512.xlsx - Loan 76</t>
      </text>
    </comment>
    <comment ref="F45" authorId="0" shapeId="0">
      <text>
        <t>Loan: Atlantic Union Equipment Finance, AMORTIZING. Source: Meiborg_Debt_Schedule_202512.xlsx - Loan 76</t>
      </text>
    </comment>
    <comment ref="C46" authorId="0" shapeId="0">
      <text>
        <t>Loan: Atlantic Union Equipment Finance, AMORTIZING. Source: Meiborg_Debt_Schedule_202512.xlsx - Loan 76</t>
      </text>
    </comment>
    <comment ref="D46" authorId="0" shapeId="0">
      <text>
        <t>Loan: Atlantic Union Equipment Finance, AMORTIZING. Source: Meiborg_Debt_Schedule_202512.xlsx - Loan 76</t>
      </text>
    </comment>
    <comment ref="E46" authorId="0" shapeId="0">
      <text>
        <t>Loan: Atlantic Union Equipment Finance, AMORTIZING. Source: Meiborg_Debt_Schedule_202512.xlsx - Loan 76</t>
      </text>
    </comment>
    <comment ref="F46" authorId="0" shapeId="0">
      <text>
        <t>Loan: Atlantic Union Equipment Finance, AMORTIZING. Source: Meiborg_Debt_Schedule_202512.xlsx - Loan 76</t>
      </text>
    </comment>
    <comment ref="C47" authorId="0" shapeId="0">
      <text>
        <t>Loan: Atlantic Union Equipment Finance, AMORTIZING. Source: Meiborg_Debt_Schedule_202512.xlsx - Loan 76</t>
      </text>
    </comment>
    <comment ref="D47" authorId="0" shapeId="0">
      <text>
        <t>Loan: Atlantic Union Equipment Finance, AMORTIZING. Source: Meiborg_Debt_Schedule_202512.xlsx - Loan 76</t>
      </text>
    </comment>
    <comment ref="E47" authorId="0" shapeId="0">
      <text>
        <t>Loan: Atlantic Union Equipment Finance, AMORTIZING. Source: Meiborg_Debt_Schedule_202512.xlsx - Loan 76</t>
      </text>
    </comment>
    <comment ref="F47" authorId="0" shapeId="0">
      <text>
        <t>Loan: Atlantic Union Equipment Finance, AMORTIZING. Source: Meiborg_Debt_Schedule_202512.xlsx - Loan 76</t>
      </text>
    </comment>
    <comment ref="C48" authorId="0" shapeId="0">
      <text>
        <t>Loan: Atlantic Union Equipment Finance, AMORTIZING. Source: Meiborg_Debt_Schedule_202512.xlsx - Loan 76</t>
      </text>
    </comment>
    <comment ref="D48" authorId="0" shapeId="0">
      <text>
        <t>Loan: Atlantic Union Equipment Finance, AMORTIZING. Source: Meiborg_Debt_Schedule_202512.xlsx - Loan 76</t>
      </text>
    </comment>
    <comment ref="E48" authorId="0" shapeId="0">
      <text>
        <t>Loan: Atlantic Union Equipment Finance, AMORTIZING. Source: Meiborg_Debt_Schedule_202512.xlsx - Loan 76</t>
      </text>
    </comment>
    <comment ref="F48" authorId="0" shapeId="0">
      <text>
        <t>Loan: Atlantic Union Equipment Finance, AMORTIZING. Source: Meiborg_Debt_Schedule_202512.xlsx - Loan 76</t>
      </text>
    </comment>
    <comment ref="C49" authorId="0" shapeId="0">
      <text>
        <t>Loan: Atlantic Union Equipment Finance, AMORTIZING. Source: Meiborg_Debt_Schedule_202512.xlsx - Loan 76</t>
      </text>
    </comment>
    <comment ref="D49" authorId="0" shapeId="0">
      <text>
        <t>Loan: Atlantic Union Equipment Finance, AMORTIZING. Source: Meiborg_Debt_Schedule_202512.xlsx - Loan 76</t>
      </text>
    </comment>
    <comment ref="E49" authorId="0" shapeId="0">
      <text>
        <t>Loan: Atlantic Union Equipment Finance, AMORTIZING. Source: Meiborg_Debt_Schedule_202512.xlsx - Loan 76</t>
      </text>
    </comment>
    <comment ref="F49" authorId="0" shapeId="0">
      <text>
        <t>Loan: Atlantic Union Equipment Finance, AMORTIZING. Source: Meiborg_Debt_Schedule_202512.xlsx - Loan 76</t>
      </text>
    </comment>
    <comment ref="C50" authorId="0" shapeId="0">
      <text>
        <t>Loan: Atlantic Union Equipment Finance, AMORTIZING. Source: Meiborg_Debt_Schedule_202512.xlsx - Loan 76</t>
      </text>
    </comment>
    <comment ref="D50" authorId="0" shapeId="0">
      <text>
        <t>Loan: Atlantic Union Equipment Finance, AMORTIZING. Source: Meiborg_Debt_Schedule_202512.xlsx - Loan 76</t>
      </text>
    </comment>
    <comment ref="E50" authorId="0" shapeId="0">
      <text>
        <t>Loan: Atlantic Union Equipment Finance, AMORTIZING. Source: Meiborg_Debt_Schedule_202512.xlsx - Loan 76</t>
      </text>
    </comment>
    <comment ref="F50" authorId="0" shapeId="0">
      <text>
        <t>Loan: Atlantic Union Equipment Finance, AMORTIZING. Source: Meiborg_Debt_Schedule_202512.xlsx - Loan 76</t>
      </text>
    </comment>
    <comment ref="C51" authorId="0" shapeId="0">
      <text>
        <t>Loan: Atlantic Union Equipment Finance, AMORTIZING. Source: Meiborg_Debt_Schedule_202512.xlsx - Loan 76</t>
      </text>
    </comment>
    <comment ref="D51" authorId="0" shapeId="0">
      <text>
        <t>Loan: Atlantic Union Equipment Finance, AMORTIZING. Source: Meiborg_Debt_Schedule_202512.xlsx - Loan 76</t>
      </text>
    </comment>
    <comment ref="E51" authorId="0" shapeId="0">
      <text>
        <t>Loan: Atlantic Union Equipment Finance, AMORTIZING. Source: Meiborg_Debt_Schedule_202512.xlsx - Loan 76</t>
      </text>
    </comment>
    <comment ref="F51" authorId="0" shapeId="0">
      <text>
        <t>Loan: Atlantic Union Equipment Finance, AMORTIZING. Source: Meiborg_Debt_Schedule_202512.xlsx - Loan 76</t>
      </text>
    </comment>
    <comment ref="C52" authorId="0" shapeId="0">
      <text>
        <t>Loan: Atlantic Union Equipment Finance, AMORTIZING. Source: Meiborg_Debt_Schedule_202512.xlsx - Loan 76</t>
      </text>
    </comment>
    <comment ref="D52" authorId="0" shapeId="0">
      <text>
        <t>Loan: Atlantic Union Equipment Finance, AMORTIZING. Source: Meiborg_Debt_Schedule_202512.xlsx - Loan 76</t>
      </text>
    </comment>
    <comment ref="E52" authorId="0" shapeId="0">
      <text>
        <t>Loan: Atlantic Union Equipment Finance, AMORTIZING. Source: Meiborg_Debt_Schedule_202512.xlsx - Loan 76</t>
      </text>
    </comment>
    <comment ref="F52" authorId="0" shapeId="0">
      <text>
        <t>Loan: Atlantic Union Equipment Finance, AMORTIZING. Source: Meiborg_Debt_Schedule_202512.xlsx - Loan 76</t>
      </text>
    </comment>
    <comment ref="C53" authorId="0" shapeId="0">
      <text>
        <t>Loan: Atlantic Union Equipment Finance, AMORTIZING. Source: Meiborg_Debt_Schedule_202512.xlsx - Loan 76</t>
      </text>
    </comment>
    <comment ref="D53" authorId="0" shapeId="0">
      <text>
        <t>Loan: Atlantic Union Equipment Finance, AMORTIZING. Source: Meiborg_Debt_Schedule_202512.xlsx - Loan 76</t>
      </text>
    </comment>
    <comment ref="E53" authorId="0" shapeId="0">
      <text>
        <t>Loan: Atlantic Union Equipment Finance, AMORTIZING. Source: Meiborg_Debt_Schedule_202512.xlsx - Loan 76</t>
      </text>
    </comment>
    <comment ref="F53" authorId="0" shapeId="0">
      <text>
        <t>Loan: Atlantic Union Equipment Finance, AMORTIZING. Source: Meiborg_Debt_Schedule_202512.xlsx - Loan 76</t>
      </text>
    </comment>
    <comment ref="C54" authorId="0" shapeId="0">
      <text>
        <t>Loan: Atlantic Union Equipment Finance, AMORTIZING. Source: Meiborg_Debt_Schedule_202512.xlsx - Loan 76</t>
      </text>
    </comment>
    <comment ref="D54" authorId="0" shapeId="0">
      <text>
        <t>Loan: Atlantic Union Equipment Finance, AMORTIZING. Source: Meiborg_Debt_Schedule_202512.xlsx - Loan 76</t>
      </text>
    </comment>
    <comment ref="E54" authorId="0" shapeId="0">
      <text>
        <t>Loan: Atlantic Union Equipment Finance, AMORTIZING. Source: Meiborg_Debt_Schedule_202512.xlsx - Loan 76</t>
      </text>
    </comment>
    <comment ref="F54" authorId="0" shapeId="0">
      <text>
        <t>Loan: Atlantic Union Equipment Finance, AMORTIZING. Source: Meiborg_Debt_Schedule_202512.xlsx - Loan 76</t>
      </text>
    </comment>
    <comment ref="C55" authorId="0" shapeId="0">
      <text>
        <t>Loan: Atlantic Union Equipment Finance, AMORTIZING. Source: Meiborg_Debt_Schedule_202512.xlsx - Loan 76</t>
      </text>
    </comment>
    <comment ref="D55" authorId="0" shapeId="0">
      <text>
        <t>Loan: Atlantic Union Equipment Finance, AMORTIZING. Source: Meiborg_Debt_Schedule_202512.xlsx - Loan 76</t>
      </text>
    </comment>
    <comment ref="E55" authorId="0" shapeId="0">
      <text>
        <t>Loan: Atlantic Union Equipment Finance, AMORTIZING. Source: Meiborg_Debt_Schedule_202512.xlsx - Loan 76</t>
      </text>
    </comment>
    <comment ref="F55" authorId="0" shapeId="0">
      <text>
        <t>Loan: Atlantic Union Equipment Finance, AMORTIZING. Source: Meiborg_Debt_Schedule_202512.xlsx - Loan 76</t>
      </text>
    </comment>
    <comment ref="C56" authorId="0" shapeId="0">
      <text>
        <t>Loan: Atlantic Union Equipment Finance, AMORTIZING. Source: Meiborg_Debt_Schedule_202512.xlsx - Loan 76</t>
      </text>
    </comment>
    <comment ref="D56" authorId="0" shapeId="0">
      <text>
        <t>Loan: Atlantic Union Equipment Finance, AMORTIZING. Source: Meiborg_Debt_Schedule_202512.xlsx - Loan 76</t>
      </text>
    </comment>
    <comment ref="E56" authorId="0" shapeId="0">
      <text>
        <t>Loan: Atlantic Union Equipment Finance, AMORTIZING. Source: Meiborg_Debt_Schedule_202512.xlsx - Loan 76</t>
      </text>
    </comment>
    <comment ref="F56" authorId="0" shapeId="0">
      <text>
        <t>Loan: Atlantic Union Equipment Finance, AMORTIZING. Source: Meiborg_Debt_Schedule_202512.xlsx - Loan 76</t>
      </text>
    </comment>
    <comment ref="C57" authorId="0" shapeId="0">
      <text>
        <t>Loan: Atlantic Union Equipment Finance, AMORTIZING. Source: Meiborg_Debt_Schedule_202512.xlsx - Loan 76</t>
      </text>
    </comment>
    <comment ref="D57" authorId="0" shapeId="0">
      <text>
        <t>Loan: Atlantic Union Equipment Finance, AMORTIZING. Source: Meiborg_Debt_Schedule_202512.xlsx - Loan 76</t>
      </text>
    </comment>
    <comment ref="E57" authorId="0" shapeId="0">
      <text>
        <t>Loan: Atlantic Union Equipment Finance, AMORTIZING. Source: Meiborg_Debt_Schedule_202512.xlsx - Loan 76</t>
      </text>
    </comment>
    <comment ref="F57" authorId="0" shapeId="0">
      <text>
        <t>Loan: Atlantic Union Equipment Finance, AMORTIZING. Source: Meiborg_Debt_Schedule_202512.xlsx - Loan 76</t>
      </text>
    </comment>
    <comment ref="C58" authorId="0" shapeId="0">
      <text>
        <t>Loan: Atlantic Union Equipment Finance, AMORTIZING. Source: Meiborg_Debt_Schedule_202512.xlsx - Loan 76</t>
      </text>
    </comment>
    <comment ref="D58" authorId="0" shapeId="0">
      <text>
        <t>Loan: Atlantic Union Equipment Finance, AMORTIZING. Source: Meiborg_Debt_Schedule_202512.xlsx - Loan 76</t>
      </text>
    </comment>
    <comment ref="E58" authorId="0" shapeId="0">
      <text>
        <t>Loan: Atlantic Union Equipment Finance, AMORTIZING. Source: Meiborg_Debt_Schedule_202512.xlsx - Loan 76</t>
      </text>
    </comment>
    <comment ref="F58" authorId="0" shapeId="0">
      <text>
        <t>Loan: Atlantic Union Equipment Finance, AMORTIZING. Source: Meiborg_Debt_Schedule_202512.xlsx - Loan 76</t>
      </text>
    </comment>
    <comment ref="C59" authorId="0" shapeId="0">
      <text>
        <t>Loan: Atlantic Union Equipment Finance, AMORTIZING. Source: Meiborg_Debt_Schedule_202512.xlsx - Loan 76</t>
      </text>
    </comment>
    <comment ref="D59" authorId="0" shapeId="0">
      <text>
        <t>Loan: Atlantic Union Equipment Finance, AMORTIZING. Source: Meiborg_Debt_Schedule_202512.xlsx - Loan 76</t>
      </text>
    </comment>
    <comment ref="E59" authorId="0" shapeId="0">
      <text>
        <t>Loan: Atlantic Union Equipment Finance, AMORTIZING. Source: Meiborg_Debt_Schedule_202512.xlsx - Loan 76</t>
      </text>
    </comment>
    <comment ref="F59" authorId="0" shapeId="0">
      <text>
        <t>Loan: Atlantic Union Equipment Finance, AMORTIZING. Source: Meiborg_Debt_Schedule_202512.xlsx - Loan 76</t>
      </text>
    </comment>
    <comment ref="C60" authorId="0" shapeId="0">
      <text>
        <t>Loan: Atlantic Union Equipment Finance, AMORTIZING. Source: Meiborg_Debt_Schedule_202512.xlsx - Loan 76</t>
      </text>
    </comment>
    <comment ref="D60" authorId="0" shapeId="0">
      <text>
        <t>Loan: Atlantic Union Equipment Finance, AMORTIZING. Source: Meiborg_Debt_Schedule_202512.xlsx - Loan 76</t>
      </text>
    </comment>
    <comment ref="E60" authorId="0" shapeId="0">
      <text>
        <t>Loan: Atlantic Union Equipment Finance, AMORTIZING. Source: Meiborg_Debt_Schedule_202512.xlsx - Loan 76</t>
      </text>
    </comment>
    <comment ref="F60" authorId="0" shapeId="0">
      <text>
        <t>Loan: Atlantic Union Equipment Finance, AMORTIZING. Source: Meiborg_Debt_Schedule_202512.xlsx - Loan 76</t>
      </text>
    </comment>
    <comment ref="C61" authorId="0" shapeId="0">
      <text>
        <t>Loan: Atlantic Union Equipment Finance, AMORTIZING. Source: Meiborg_Debt_Schedule_202512.xlsx - Loan 76</t>
      </text>
    </comment>
    <comment ref="D61" authorId="0" shapeId="0">
      <text>
        <t>Loan: Atlantic Union Equipment Finance, AMORTIZING. Source: Meiborg_Debt_Schedule_202512.xlsx - Loan 76</t>
      </text>
    </comment>
    <comment ref="E61" authorId="0" shapeId="0">
      <text>
        <t>Loan: Atlantic Union Equipment Finance, AMORTIZING. Source: Meiborg_Debt_Schedule_202512.xlsx - Loan 76</t>
      </text>
    </comment>
    <comment ref="F61" authorId="0" shapeId="0">
      <text>
        <t>Loan: Atlantic Union Equipment Finance, AMORTIZING. Source: Meiborg_Debt_Schedule_202512.xlsx - Loan 76</t>
      </text>
    </comment>
    <comment ref="C62" authorId="0" shapeId="0">
      <text>
        <t>Loan: Atlantic Union Equipment Finance, AMORTIZING. Source: Meiborg_Debt_Schedule_202512.xlsx - Loan 76</t>
      </text>
    </comment>
    <comment ref="D62" authorId="0" shapeId="0">
      <text>
        <t>Loan: Atlantic Union Equipment Finance, AMORTIZING. Source: Meiborg_Debt_Schedule_202512.xlsx - Loan 76</t>
      </text>
    </comment>
    <comment ref="E62" authorId="0" shapeId="0">
      <text>
        <t>Loan: Atlantic Union Equipment Finance, AMORTIZING. Source: Meiborg_Debt_Schedule_202512.xlsx - Loan 76</t>
      </text>
    </comment>
    <comment ref="F62" authorId="0" shapeId="0">
      <text>
        <t>Loan: Atlantic Union Equipment Finance, AMORTIZING. Source: Meiborg_Debt_Schedule_202512.xlsx - Loan 76</t>
      </text>
    </comment>
    <comment ref="C63" authorId="0" shapeId="0">
      <text>
        <t>Loan: Atlantic Union Equipment Finance, AMORTIZING. Source: Meiborg_Debt_Schedule_202512.xlsx - Loan 76</t>
      </text>
    </comment>
    <comment ref="D63" authorId="0" shapeId="0">
      <text>
        <t>Loan: Atlantic Union Equipment Finance, AMORTIZING. Source: Meiborg_Debt_Schedule_202512.xlsx - Loan 76</t>
      </text>
    </comment>
    <comment ref="E63" authorId="0" shapeId="0">
      <text>
        <t>Loan: Atlantic Union Equipment Finance, AMORTIZING. Source: Meiborg_Debt_Schedule_202512.xlsx - Loan 76</t>
      </text>
    </comment>
    <comment ref="F63" authorId="0" shapeId="0">
      <text>
        <t>Loan: Atlantic Union Equipment Finance, AMORTIZING. Source: Meiborg_Debt_Schedule_202512.xlsx - Loan 76</t>
      </text>
    </comment>
    <comment ref="C64" authorId="0" shapeId="0">
      <text>
        <t>Loan: Atlantic Union Equipment Finance, AMORTIZING. Source: Meiborg_Debt_Schedule_202512.xlsx - Loan 76</t>
      </text>
    </comment>
    <comment ref="D64" authorId="0" shapeId="0">
      <text>
        <t>Loan: Atlantic Union Equipment Finance, AMORTIZING. Source: Meiborg_Debt_Schedule_202512.xlsx - Loan 76</t>
      </text>
    </comment>
    <comment ref="E64" authorId="0" shapeId="0">
      <text>
        <t>Loan: Atlantic Union Equipment Finance, AMORTIZING. Source: Meiborg_Debt_Schedule_202512.xlsx - Loan 76</t>
      </text>
    </comment>
    <comment ref="F64" authorId="0" shapeId="0">
      <text>
        <t>Loan: Atlantic Union Equipment Finance, AMORTIZING. Source: Meiborg_Debt_Schedule_202512.xlsx - Loan 76</t>
      </text>
    </comment>
    <comment ref="C65" authorId="0" shapeId="0">
      <text>
        <t>Loan: Atlantic Union Equipment Finance, AMORTIZING. Source: Meiborg_Debt_Schedule_202512.xlsx - Loan 76</t>
      </text>
    </comment>
    <comment ref="D65" authorId="0" shapeId="0">
      <text>
        <t>Loan: Atlantic Union Equipment Finance, AMORTIZING. Source: Meiborg_Debt_Schedule_202512.xlsx - Loan 76</t>
      </text>
    </comment>
    <comment ref="E65" authorId="0" shapeId="0">
      <text>
        <t>Loan: Atlantic Union Equipment Finance, AMORTIZING. Source: Meiborg_Debt_Schedule_202512.xlsx - Loan 76</t>
      </text>
    </comment>
    <comment ref="F65" authorId="0" shapeId="0">
      <text>
        <t>Loan: Atlantic Union Equipment Finance, AMORTIZING. Source: Meiborg_Debt_Schedule_202512.xlsx - Loan 76</t>
      </text>
    </comment>
    <comment ref="C66" authorId="0" shapeId="0">
      <text>
        <t>Loan: Atlantic Union Equipment Finance, AMORTIZING. Source: Meiborg_Debt_Schedule_202512.xlsx - Loan 76</t>
      </text>
    </comment>
    <comment ref="D66" authorId="0" shapeId="0">
      <text>
        <t>Loan: Atlantic Union Equipment Finance, AMORTIZING. Source: Meiborg_Debt_Schedule_202512.xlsx - Loan 76</t>
      </text>
    </comment>
    <comment ref="E66" authorId="0" shapeId="0">
      <text>
        <t>Loan: Atlantic Union Equipment Finance, AMORTIZING. Source: Meiborg_Debt_Schedule_202512.xlsx - Loan 76</t>
      </text>
    </comment>
    <comment ref="F66" authorId="0" shapeId="0">
      <text>
        <t>Loan: Atlantic Union Equipment Finance, AMORTIZING. Source: Meiborg_Debt_Schedule_202512.xlsx - Loan 76</t>
      </text>
    </comment>
    <comment ref="C67" authorId="0" shapeId="0">
      <text>
        <t>Loan: Atlantic Union Equipment Finance, AMORTIZING. Source: Meiborg_Debt_Schedule_202512.xlsx - Loan 76</t>
      </text>
    </comment>
    <comment ref="D67" authorId="0" shapeId="0">
      <text>
        <t>Loan: Atlantic Union Equipment Finance, AMORTIZING. Source: Meiborg_Debt_Schedule_202512.xlsx - Loan 76</t>
      </text>
    </comment>
    <comment ref="E67" authorId="0" shapeId="0">
      <text>
        <t>Loan: Atlantic Union Equipment Finance, AMORTIZING. Source: Meiborg_Debt_Schedule_202512.xlsx - Loan 76</t>
      </text>
    </comment>
    <comment ref="F67" authorId="0" shapeId="0">
      <text>
        <t>Loan: Atlantic Union Equipment Finance, AMORTIZING. Source: Meiborg_Debt_Schedule_202512.xlsx - Loan 76</t>
      </text>
    </comment>
    <comment ref="C68" authorId="0" shapeId="0">
      <text>
        <t>Loan: Atlantic Union Equipment Finance, AMORTIZING. Source: Meiborg_Debt_Schedule_202512.xlsx - Loan 76</t>
      </text>
    </comment>
    <comment ref="D68" authorId="0" shapeId="0">
      <text>
        <t>Loan: Atlantic Union Equipment Finance, AMORTIZING. Source: Meiborg_Debt_Schedule_202512.xlsx - Loan 76</t>
      </text>
    </comment>
    <comment ref="E68" authorId="0" shapeId="0">
      <text>
        <t>Loan: Atlantic Union Equipment Finance, AMORTIZING. Source: Meiborg_Debt_Schedule_202512.xlsx - Loan 76</t>
      </text>
    </comment>
    <comment ref="F68" authorId="0" shapeId="0">
      <text>
        <t>Loan: Atlantic Union Equipment Finance, AMORTIZING. Source: Meiborg_Debt_Schedule_202512.xlsx - Loan 76</t>
      </text>
    </comment>
    <comment ref="C69" authorId="0" shapeId="0">
      <text>
        <t>Loan: Atlantic Union Equipment Finance, AMORTIZING. Source: Meiborg_Debt_Schedule_202512.xlsx - Loan 76</t>
      </text>
    </comment>
    <comment ref="D69" authorId="0" shapeId="0">
      <text>
        <t>Loan: Atlantic Union Equipment Finance, AMORTIZING. Source: Meiborg_Debt_Schedule_202512.xlsx - Loan 76</t>
      </text>
    </comment>
    <comment ref="E69" authorId="0" shapeId="0">
      <text>
        <t>Loan: Atlantic Union Equipment Finance, AMORTIZING. Source: Meiborg_Debt_Schedule_202512.xlsx - Loan 76</t>
      </text>
    </comment>
    <comment ref="F69" authorId="0" shapeId="0">
      <text>
        <t>Loan: Atlantic Union Equipment Finance, AMORTIZING. Source: Meiborg_Debt_Schedule_202512.xlsx - Loan 76</t>
      </text>
    </comment>
    <comment ref="C70" authorId="0" shapeId="0">
      <text>
        <t>Loan: Atlantic Union Equipment Finance, AMORTIZING. Source: Meiborg_Debt_Schedule_202512.xlsx - Loan 76</t>
      </text>
    </comment>
    <comment ref="D70" authorId="0" shapeId="0">
      <text>
        <t>Loan: Atlantic Union Equipment Finance, AMORTIZING. Source: Meiborg_Debt_Schedule_202512.xlsx - Loan 76</t>
      </text>
    </comment>
    <comment ref="E70" authorId="0" shapeId="0">
      <text>
        <t>Loan: Atlantic Union Equipment Finance, AMORTIZING. Source: Meiborg_Debt_Schedule_202512.xlsx - Loan 76</t>
      </text>
    </comment>
    <comment ref="F70" authorId="0" shapeId="0">
      <text>
        <t>Loan: Atlantic Union Equipment Finance, AMORTIZING. Source: Meiborg_Debt_Schedule_202512.xlsx - Loan 76</t>
      </text>
    </comment>
    <comment ref="C71" authorId="0" shapeId="0">
      <text>
        <t>Loan: Atlantic Union Equipment Finance, AMORTIZING. Source: Meiborg_Debt_Schedule_202512.xlsx - Loan 76</t>
      </text>
    </comment>
    <comment ref="D71" authorId="0" shapeId="0">
      <text>
        <t>Loan: Atlantic Union Equipment Finance, AMORTIZING. Source: Meiborg_Debt_Schedule_202512.xlsx - Loan 76</t>
      </text>
    </comment>
    <comment ref="E71" authorId="0" shapeId="0">
      <text>
        <t>Loan: Atlantic Union Equipment Finance, AMORTIZING. Source: Meiborg_Debt_Schedule_202512.xlsx - Loan 76</t>
      </text>
    </comment>
    <comment ref="F71" authorId="0" shapeId="0">
      <text>
        <t>Loan: Atlantic Union Equipment Finance, AMORTIZING. Source: Meiborg_Debt_Schedule_202512.xlsx - Loan 76</t>
      </text>
    </comment>
    <comment ref="C72" authorId="0" shapeId="0">
      <text>
        <t>Loan: Atlantic Union Equipment Finance, AMORTIZING. Source: Meiborg_Debt_Schedule_202512.xlsx - Loan 76</t>
      </text>
    </comment>
    <comment ref="D72" authorId="0" shapeId="0">
      <text>
        <t>Loan: Atlantic Union Equipment Finance, AMORTIZING. Source: Meiborg_Debt_Schedule_202512.xlsx - Loan 76</t>
      </text>
    </comment>
    <comment ref="E72" authorId="0" shapeId="0">
      <text>
        <t>Loan: Atlantic Union Equipment Finance, AMORTIZING. Source: Meiborg_Debt_Schedule_202512.xlsx - Loan 76</t>
      </text>
    </comment>
    <comment ref="F72" authorId="0" shapeId="0">
      <text>
        <t>Loan: Atlantic Union Equipment Finance, AMORTIZING. Source: Meiborg_Debt_Schedule_202512.xlsx - Loan 76</t>
      </text>
    </comment>
    <comment ref="C73" authorId="0" shapeId="0">
      <text>
        <t>Loan: Atlantic Union Equipment Finance, AMORTIZING. Source: Meiborg_Debt_Schedule_202512.xlsx - Loan 76</t>
      </text>
    </comment>
    <comment ref="D73" authorId="0" shapeId="0">
      <text>
        <t>Loan: Atlantic Union Equipment Finance, AMORTIZING. Source: Meiborg_Debt_Schedule_202512.xlsx - Loan 76</t>
      </text>
    </comment>
    <comment ref="E73" authorId="0" shapeId="0">
      <text>
        <t>Loan: Atlantic Union Equipment Finance, AMORTIZING. Source: Meiborg_Debt_Schedule_202512.xlsx - Loan 76</t>
      </text>
    </comment>
    <comment ref="F73" authorId="0" shapeId="0">
      <text>
        <t>Loan: Atlantic Union Equipment Finance, AMORTIZING. Source: Meiborg_Debt_Schedule_202512.xlsx - Loan 76</t>
      </text>
    </comment>
    <comment ref="C74" authorId="0" shapeId="0">
      <text>
        <t>Loan: Atlantic Union Equipment Finance, AMORTIZING. Source: Meiborg_Debt_Schedule_202512.xlsx - Loan 76</t>
      </text>
    </comment>
    <comment ref="D74" authorId="0" shapeId="0">
      <text>
        <t>Loan: Atlantic Union Equipment Finance, AMORTIZING. Source: Meiborg_Debt_Schedule_202512.xlsx - Loan 76</t>
      </text>
    </comment>
    <comment ref="E74" authorId="0" shapeId="0">
      <text>
        <t>Loan: Atlantic Union Equipment Finance, AMORTIZING. Source: Meiborg_Debt_Schedule_202512.xlsx - Loan 76</t>
      </text>
    </comment>
    <comment ref="F74" authorId="0" shapeId="0">
      <text>
        <t>Loan: Atlantic Union Equipment Finance, AMORTIZING. Source: Meiborg_Debt_Schedule_202512.xlsx - Loan 76</t>
      </text>
    </comment>
    <comment ref="C75" authorId="0" shapeId="0">
      <text>
        <t>Loan: Atlantic Union Equipment Finance, AMORTIZING. Source: Meiborg_Debt_Schedule_202512.xlsx - Loan 76</t>
      </text>
    </comment>
    <comment ref="D75" authorId="0" shapeId="0">
      <text>
        <t>Loan: Atlantic Union Equipment Finance, AMORTIZING. Source: Meiborg_Debt_Schedule_202512.xlsx - Loan 76</t>
      </text>
    </comment>
    <comment ref="E75" authorId="0" shapeId="0">
      <text>
        <t>Loan: Atlantic Union Equipment Finance, AMORTIZING. Source: Meiborg_Debt_Schedule_202512.xlsx - Loan 76</t>
      </text>
    </comment>
    <comment ref="F75" authorId="0" shapeId="0">
      <text>
        <t>Loan: Atlantic Union Equipment Finance, AMORTIZING. Source: Meiborg_Debt_Schedule_202512.xlsx - Loan 76</t>
      </text>
    </comment>
    <comment ref="C76" authorId="0" shapeId="0">
      <text>
        <t>Loan: Atlantic Union Equipment Finance, AMORTIZING. Source: Meiborg_Debt_Schedule_202512.xlsx - Loan 76</t>
      </text>
    </comment>
    <comment ref="D76" authorId="0" shapeId="0">
      <text>
        <t>Loan: Atlantic Union Equipment Finance, AMORTIZING. Source: Meiborg_Debt_Schedule_202512.xlsx - Loan 76</t>
      </text>
    </comment>
    <comment ref="E76" authorId="0" shapeId="0">
      <text>
        <t>Loan: Atlantic Union Equipment Finance, AMORTIZING. Source: Meiborg_Debt_Schedule_202512.xlsx - Loan 76</t>
      </text>
    </comment>
    <comment ref="F76" authorId="0" shapeId="0">
      <text>
        <t>Loan: Atlantic Union Equipment Finance, AMORTIZING. Source: Meiborg_Debt_Schedule_202512.xlsx - Loan 76</t>
      </text>
    </comment>
    <comment ref="C77" authorId="0" shapeId="0">
      <text>
        <t>Loan: Atlantic Union Equipment Finance, AMORTIZING. Source: Meiborg_Debt_Schedule_202512.xlsx - Loan 76</t>
      </text>
    </comment>
    <comment ref="D77" authorId="0" shapeId="0">
      <text>
        <t>Loan: Atlantic Union Equipment Finance, AMORTIZING. Source: Meiborg_Debt_Schedule_202512.xlsx - Loan 76</t>
      </text>
    </comment>
    <comment ref="E77" authorId="0" shapeId="0">
      <text>
        <t>Loan: Atlantic Union Equipment Finance, AMORTIZING. Source: Meiborg_Debt_Schedule_202512.xlsx - Loan 76</t>
      </text>
    </comment>
    <comment ref="F77" authorId="0" shapeId="0">
      <text>
        <t>Loan: Atlantic Union Equipment Finance, AMORTIZING. Source: Meiborg_Debt_Schedule_202512.xlsx - Loan 76</t>
      </text>
    </comment>
    <comment ref="C78" authorId="0" shapeId="0">
      <text>
        <t>Loan: Atlantic Union Equipment Finance, AMORTIZING. Source: Meiborg_Debt_Schedule_202512.xlsx - Loan 76</t>
      </text>
    </comment>
    <comment ref="D78" authorId="0" shapeId="0">
      <text>
        <t>Loan: Atlantic Union Equipment Finance, AMORTIZING. Source: Meiborg_Debt_Schedule_202512.xlsx - Loan 76</t>
      </text>
    </comment>
    <comment ref="E78" authorId="0" shapeId="0">
      <text>
        <t>Loan: Atlantic Union Equipment Finance, AMORTIZING. Source: Meiborg_Debt_Schedule_202512.xlsx - Loan 76</t>
      </text>
    </comment>
    <comment ref="F78" authorId="0" shapeId="0">
      <text>
        <t>Loan: Atlantic Union Equipment Finance, AMORTIZING. Source: Meiborg_Debt_Schedule_202512.xlsx - Loan 76</t>
      </text>
    </comment>
    <comment ref="C79" authorId="0" shapeId="0">
      <text>
        <t>Loan: Atlantic Union Equipment Finance, AMORTIZING. Source: Meiborg_Debt_Schedule_202512.xlsx - Loan 76</t>
      </text>
    </comment>
    <comment ref="D79" authorId="0" shapeId="0">
      <text>
        <t>Loan: Atlantic Union Equipment Finance, AMORTIZING. Source: Meiborg_Debt_Schedule_202512.xlsx - Loan 76</t>
      </text>
    </comment>
    <comment ref="E79" authorId="0" shapeId="0">
      <text>
        <t>Loan: Atlantic Union Equipment Finance, AMORTIZING. Source: Meiborg_Debt_Schedule_202512.xlsx - Loan 76</t>
      </text>
    </comment>
    <comment ref="F79" authorId="0" shapeId="0">
      <text>
        <t>Loan: Atlantic Union Equipment Finance, AMORTIZING. Source: Meiborg_Debt_Schedule_202512.xlsx - Loan 76</t>
      </text>
    </comment>
    <comment ref="C80" authorId="0" shapeId="0">
      <text>
        <t>Loan: Atlantic Union Equipment Finance, AMORTIZING. Source: Meiborg_Debt_Schedule_202512.xlsx - Loan 76</t>
      </text>
    </comment>
    <comment ref="D80" authorId="0" shapeId="0">
      <text>
        <t>Loan: Atlantic Union Equipment Finance, AMORTIZING. Source: Meiborg_Debt_Schedule_202512.xlsx - Loan 76</t>
      </text>
    </comment>
    <comment ref="E80" authorId="0" shapeId="0">
      <text>
        <t>Loan: Atlantic Union Equipment Finance, AMORTIZING. Source: Meiborg_Debt_Schedule_202512.xlsx - Loan 76</t>
      </text>
    </comment>
    <comment ref="F80" authorId="0" shapeId="0">
      <text>
        <t>Loan: Atlantic Union Equipment Finance, AMORTIZING. Source: Meiborg_Debt_Schedule_202512.xlsx - Loan 76</t>
      </text>
    </comment>
    <comment ref="C81" authorId="0" shapeId="0">
      <text>
        <t>Loan: Atlantic Union Equipment Finance, AMORTIZING. Source: Meiborg_Debt_Schedule_202512.xlsx - Loan 76</t>
      </text>
    </comment>
    <comment ref="D81" authorId="0" shapeId="0">
      <text>
        <t>Loan: Atlantic Union Equipment Finance, AMORTIZING. Source: Meiborg_Debt_Schedule_202512.xlsx - Loan 76</t>
      </text>
    </comment>
    <comment ref="E81" authorId="0" shapeId="0">
      <text>
        <t>Loan: Atlantic Union Equipment Finance, AMORTIZING. Source: Meiborg_Debt_Schedule_202512.xlsx - Loan 76</t>
      </text>
    </comment>
    <comment ref="F81" authorId="0" shapeId="0">
      <text>
        <t>Loan: Atlantic Union Equipment Finance, AMORTIZING. Source: Meiborg_Debt_Schedule_202512.xlsx - Loan 76</t>
      </text>
    </comment>
    <comment ref="C82" authorId="0" shapeId="0">
      <text>
        <t>Loan: Atlantic Union Equipment Finance, AMORTIZING. Source: Meiborg_Debt_Schedule_202512.xlsx - Loan 76</t>
      </text>
    </comment>
    <comment ref="D82" authorId="0" shapeId="0">
      <text>
        <t>Loan: Atlantic Union Equipment Finance, AMORTIZING. Source: Meiborg_Debt_Schedule_202512.xlsx - Loan 76</t>
      </text>
    </comment>
    <comment ref="E82" authorId="0" shapeId="0">
      <text>
        <t>Loan: Atlantic Union Equipment Finance, AMORTIZING. Source: Meiborg_Debt_Schedule_202512.xlsx - Loan 76</t>
      </text>
    </comment>
    <comment ref="F82" authorId="0" shapeId="0">
      <text>
        <t>Loan: Atlantic Union Equipment Finance, AMORTIZING. Source: Meiborg_Debt_Schedule_202512.xlsx - Loan 76</t>
      </text>
    </comment>
    <comment ref="C83" authorId="0" shapeId="0">
      <text>
        <t>Loan: Atlantic Union Equipment Finance, AMORTIZING. Source: Meiborg_Debt_Schedule_202512.xlsx - Loan 76</t>
      </text>
    </comment>
    <comment ref="D83" authorId="0" shapeId="0">
      <text>
        <t>Loan: Atlantic Union Equipment Finance, AMORTIZING. Source: Meiborg_Debt_Schedule_202512.xlsx - Loan 76</t>
      </text>
    </comment>
    <comment ref="E83" authorId="0" shapeId="0">
      <text>
        <t>Loan: Atlantic Union Equipment Finance, AMORTIZING. Source: Meiborg_Debt_Schedule_202512.xlsx - Loan 76</t>
      </text>
    </comment>
    <comment ref="F83" authorId="0" shapeId="0">
      <text>
        <t>Loan: Atlantic Union Equipment Finance, AMORTIZING. Source: Meiborg_Debt_Schedule_202512.xlsx - Loan 76</t>
      </text>
    </comment>
    <comment ref="C84" authorId="0" shapeId="0">
      <text>
        <t>Loan: Atlantic Union Equipment Finance, AMORTIZING. Source: Meiborg_Debt_Schedule_202512.xlsx - Loan 76</t>
      </text>
    </comment>
    <comment ref="D84" authorId="0" shapeId="0">
      <text>
        <t>Loan: Atlantic Union Equipment Finance, AMORTIZING. Source: Meiborg_Debt_Schedule_202512.xlsx - Loan 76</t>
      </text>
    </comment>
    <comment ref="E84" authorId="0" shapeId="0">
      <text>
        <t>Loan: Atlantic Union Equipment Finance, AMORTIZING. Source: Meiborg_Debt_Schedule_202512.xlsx - Loan 76</t>
      </text>
    </comment>
    <comment ref="F84" authorId="0" shapeId="0">
      <text>
        <t>Loan: Atlantic Union Equipment Finance, AMORTIZING. Source: Meiborg_Debt_Schedule_202512.xlsx - Loan 76</t>
      </text>
    </comment>
    <comment ref="C85" authorId="0" shapeId="0">
      <text>
        <t>Loan: Atlantic Union Equipment Finance, AMORTIZING. Source: Meiborg_Debt_Schedule_202512.xlsx - Loan 76</t>
      </text>
    </comment>
    <comment ref="D85" authorId="0" shapeId="0">
      <text>
        <t>Loan: Atlantic Union Equipment Finance, AMORTIZING. Source: Meiborg_Debt_Schedule_202512.xlsx - Loan 76</t>
      </text>
    </comment>
    <comment ref="E85" authorId="0" shapeId="0">
      <text>
        <t>Loan: Atlantic Union Equipment Finance, AMORTIZING. Source: Meiborg_Debt_Schedule_202512.xlsx - Loan 76</t>
      </text>
    </comment>
    <comment ref="F85" authorId="0" shapeId="0">
      <text>
        <t>Loan: Atlantic Union Equipment Finance, AMORTIZING. Source: Meiborg_Debt_Schedule_202512.xlsx - Loan 76</t>
      </text>
    </comment>
    <comment ref="B89" authorId="0" shapeId="0">
      <text>
        <t>Sum of rows 20-21: Annual opening balance</t>
      </text>
    </comment>
    <comment ref="C89" authorId="0" shapeId="0">
      <text>
        <t>Sum of rows 20-21: Annual interest expense</t>
      </text>
    </comment>
    <comment ref="D89" authorId="0" shapeId="0">
      <text>
        <t>Sum of rows 20-21: Annual principal repaid</t>
      </text>
    </comment>
    <comment ref="E89" authorId="0" shapeId="0">
      <text>
        <t>Sum of rows 20-21: Year-end closing balance</t>
      </text>
    </comment>
    <comment ref="B90" authorId="0" shapeId="0">
      <text>
        <t>Sum of rows 22-33: Annual opening balance</t>
      </text>
    </comment>
    <comment ref="C90" authorId="0" shapeId="0">
      <text>
        <t>Sum of rows 22-33: Annual interest expense</t>
      </text>
    </comment>
    <comment ref="D90" authorId="0" shapeId="0">
      <text>
        <t>Sum of rows 22-33: Annual principal repaid</t>
      </text>
    </comment>
    <comment ref="E90" authorId="0" shapeId="0">
      <text>
        <t>Sum of rows 22-33: Year-end closing balance</t>
      </text>
    </comment>
    <comment ref="B91" authorId="0" shapeId="0">
      <text>
        <t>Sum of rows 34-45: Annual opening balance</t>
      </text>
    </comment>
    <comment ref="C91" authorId="0" shapeId="0">
      <text>
        <t>Sum of rows 34-45: Annual interest expense</t>
      </text>
    </comment>
    <comment ref="D91" authorId="0" shapeId="0">
      <text>
        <t>Sum of rows 34-45: Annual principal repaid</t>
      </text>
    </comment>
    <comment ref="E91" authorId="0" shapeId="0">
      <text>
        <t>Sum of rows 34-45: Year-end closing balance</t>
      </text>
    </comment>
    <comment ref="B92" authorId="0" shapeId="0">
      <text>
        <t>Sum of rows 46-57: Annual opening balance</t>
      </text>
    </comment>
    <comment ref="C92" authorId="0" shapeId="0">
      <text>
        <t>Sum of rows 46-57: Annual interest expense</t>
      </text>
    </comment>
    <comment ref="D92" authorId="0" shapeId="0">
      <text>
        <t>Sum of rows 46-57: Annual principal repaid</t>
      </text>
    </comment>
    <comment ref="E92" authorId="0" shapeId="0">
      <text>
        <t>Sum of rows 46-57: Year-end closing balance</t>
      </text>
    </comment>
    <comment ref="B93" authorId="0" shapeId="0">
      <text>
        <t>Sum of rows 58-69: Annual opening balance</t>
      </text>
    </comment>
    <comment ref="C93" authorId="0" shapeId="0">
      <text>
        <t>Sum of rows 58-69: Annual interest expense</t>
      </text>
    </comment>
    <comment ref="D93" authorId="0" shapeId="0">
      <text>
        <t>Sum of rows 58-69: Annual principal repaid</t>
      </text>
    </comment>
    <comment ref="E93" authorId="0" shapeId="0">
      <text>
        <t>Sum of rows 58-69: Year-end closing balance</t>
      </text>
    </comment>
    <comment ref="B94" authorId="0" shapeId="0">
      <text>
        <t>Sum of rows 70-81: Annual opening balance</t>
      </text>
    </comment>
    <comment ref="C94" authorId="0" shapeId="0">
      <text>
        <t>Sum of rows 70-81: Annual interest expense</t>
      </text>
    </comment>
    <comment ref="D94" authorId="0" shapeId="0">
      <text>
        <t>Sum of rows 70-81: Annual principal repaid</t>
      </text>
    </comment>
    <comment ref="E94" authorId="0" shapeId="0">
      <text>
        <t>Sum of rows 70-81: Year-end closing balance</t>
      </text>
    </comment>
    <comment ref="B95" authorId="0" shapeId="0">
      <text>
        <t>Sum of rows 82-85: Annual opening balance</t>
      </text>
    </comment>
    <comment ref="C95" authorId="0" shapeId="0">
      <text>
        <t>Sum of rows 82-85: Annual interest expense</t>
      </text>
    </comment>
    <comment ref="D95" authorId="0" shapeId="0">
      <text>
        <t>Sum of rows 82-85: Annual principal repaid</t>
      </text>
    </comment>
    <comment ref="E95" authorId="0" shapeId="0">
      <text>
        <t>Sum of rows 82-85: Year-end closing balance</t>
      </text>
    </comment>
    <comment ref="B97" authorId="0" shapeId="0">
      <text>
        <t>Links to: header block row 7 - Balance as of 12/31/2025</t>
      </text>
    </comment>
  </commentList>
</comments>
</file>

<file path=xl/comments/comment67.xml><?xml version="1.0" encoding="utf-8"?>
<comments xmlns="http://schemas.openxmlformats.org/spreadsheetml/2006/main">
  <authors>
    <author>Model Builder</author>
  </authors>
  <commentList>
    <comment ref="B2" authorId="0" shapeId="0">
      <text>
        <t>Source: Meiborg_Debt_Schedule_202512.xlsx - Loan 77
Extracted: 2026-05-14</t>
      </text>
    </comment>
    <comment ref="B6" authorId="0" shapeId="0">
      <text>
        <t>Loan: Atlantic Union Equipment Finance, AMORTIZING. Source: Meiborg_Debt_Schedule_202512.xlsx - Loan 77</t>
      </text>
    </comment>
    <comment ref="B7" authorId="0" shapeId="0">
      <text>
        <t>Current balance as of 12/31/2025. Source: Meiborg_Debt_Schedule_202512.xlsx - Loan 77</t>
      </text>
    </comment>
    <comment ref="B8" authorId="0" shapeId="0">
      <text>
        <t>Annual interest rate. Source: Meiborg_Debt_Schedule_202512.xlsx - Loan 77</t>
      </text>
    </comment>
    <comment ref="B9" authorId="0" shapeId="0">
      <text>
        <t>Fixed monthly payment. Source: Meiborg_Debt_Schedule_202512.xlsx - Loan 77</t>
      </text>
    </comment>
    <comment ref="C20" authorId="0" shapeId="0">
      <text>
        <t>Loan: Atlantic Union Equipment Finance, AMORTIZING. Source: Meiborg_Debt_Schedule_202512.xlsx - Loan 77</t>
      </text>
    </comment>
    <comment ref="D20" authorId="0" shapeId="0">
      <text>
        <t>Loan: Atlantic Union Equipment Finance, AMORTIZING. Source: Meiborg_Debt_Schedule_202512.xlsx - Loan 77</t>
      </text>
    </comment>
    <comment ref="E20" authorId="0" shapeId="0">
      <text>
        <t>Loan: Atlantic Union Equipment Finance, AMORTIZING. Source: Meiborg_Debt_Schedule_202512.xlsx - Loan 77</t>
      </text>
    </comment>
    <comment ref="F20" authorId="0" shapeId="0">
      <text>
        <t>Loan: Atlantic Union Equipment Finance, AMORTIZING. Source: Meiborg_Debt_Schedule_202512.xlsx - Loan 77</t>
      </text>
    </comment>
    <comment ref="C21" authorId="0" shapeId="0">
      <text>
        <t>Loan: Atlantic Union Equipment Finance, AMORTIZING. Source: Meiborg_Debt_Schedule_202512.xlsx - Loan 77</t>
      </text>
    </comment>
    <comment ref="D21" authorId="0" shapeId="0">
      <text>
        <t>Loan: Atlantic Union Equipment Finance, AMORTIZING. Source: Meiborg_Debt_Schedule_202512.xlsx - Loan 77</t>
      </text>
    </comment>
    <comment ref="E21" authorId="0" shapeId="0">
      <text>
        <t>Loan: Atlantic Union Equipment Finance, AMORTIZING. Source: Meiborg_Debt_Schedule_202512.xlsx - Loan 77</t>
      </text>
    </comment>
    <comment ref="F21" authorId="0" shapeId="0">
      <text>
        <t>Loan: Atlantic Union Equipment Finance, AMORTIZING. Source: Meiborg_Debt_Schedule_202512.xlsx - Loan 77</t>
      </text>
    </comment>
    <comment ref="C22" authorId="0" shapeId="0">
      <text>
        <t>Loan: Atlantic Union Equipment Finance, AMORTIZING. Source: Meiborg_Debt_Schedule_202512.xlsx - Loan 77</t>
      </text>
    </comment>
    <comment ref="D22" authorId="0" shapeId="0">
      <text>
        <t>Loan: Atlantic Union Equipment Finance, AMORTIZING. Source: Meiborg_Debt_Schedule_202512.xlsx - Loan 77</t>
      </text>
    </comment>
    <comment ref="E22" authorId="0" shapeId="0">
      <text>
        <t>Loan: Atlantic Union Equipment Finance, AMORTIZING. Source: Meiborg_Debt_Schedule_202512.xlsx - Loan 77</t>
      </text>
    </comment>
    <comment ref="F22" authorId="0" shapeId="0">
      <text>
        <t>Loan: Atlantic Union Equipment Finance, AMORTIZING. Source: Meiborg_Debt_Schedule_202512.xlsx - Loan 77</t>
      </text>
    </comment>
    <comment ref="C23" authorId="0" shapeId="0">
      <text>
        <t>Loan: Atlantic Union Equipment Finance, AMORTIZING. Source: Meiborg_Debt_Schedule_202512.xlsx - Loan 77</t>
      </text>
    </comment>
    <comment ref="D23" authorId="0" shapeId="0">
      <text>
        <t>Loan: Atlantic Union Equipment Finance, AMORTIZING. Source: Meiborg_Debt_Schedule_202512.xlsx - Loan 77</t>
      </text>
    </comment>
    <comment ref="E23" authorId="0" shapeId="0">
      <text>
        <t>Loan: Atlantic Union Equipment Finance, AMORTIZING. Source: Meiborg_Debt_Schedule_202512.xlsx - Loan 77</t>
      </text>
    </comment>
    <comment ref="F23" authorId="0" shapeId="0">
      <text>
        <t>Loan: Atlantic Union Equipment Finance, AMORTIZING. Source: Meiborg_Debt_Schedule_202512.xlsx - Loan 77</t>
      </text>
    </comment>
    <comment ref="C24" authorId="0" shapeId="0">
      <text>
        <t>Loan: Atlantic Union Equipment Finance, AMORTIZING. Source: Meiborg_Debt_Schedule_202512.xlsx - Loan 77</t>
      </text>
    </comment>
    <comment ref="D24" authorId="0" shapeId="0">
      <text>
        <t>Loan: Atlantic Union Equipment Finance, AMORTIZING. Source: Meiborg_Debt_Schedule_202512.xlsx - Loan 77</t>
      </text>
    </comment>
    <comment ref="E24" authorId="0" shapeId="0">
      <text>
        <t>Loan: Atlantic Union Equipment Finance, AMORTIZING. Source: Meiborg_Debt_Schedule_202512.xlsx - Loan 77</t>
      </text>
    </comment>
    <comment ref="F24" authorId="0" shapeId="0">
      <text>
        <t>Loan: Atlantic Union Equipment Finance, AMORTIZING. Source: Meiborg_Debt_Schedule_202512.xlsx - Loan 77</t>
      </text>
    </comment>
    <comment ref="C25" authorId="0" shapeId="0">
      <text>
        <t>Loan: Atlantic Union Equipment Finance, AMORTIZING. Source: Meiborg_Debt_Schedule_202512.xlsx - Loan 77</t>
      </text>
    </comment>
    <comment ref="D25" authorId="0" shapeId="0">
      <text>
        <t>Loan: Atlantic Union Equipment Finance, AMORTIZING. Source: Meiborg_Debt_Schedule_202512.xlsx - Loan 77</t>
      </text>
    </comment>
    <comment ref="E25" authorId="0" shapeId="0">
      <text>
        <t>Loan: Atlantic Union Equipment Finance, AMORTIZING. Source: Meiborg_Debt_Schedule_202512.xlsx - Loan 77</t>
      </text>
    </comment>
    <comment ref="F25" authorId="0" shapeId="0">
      <text>
        <t>Loan: Atlantic Union Equipment Finance, AMORTIZING. Source: Meiborg_Debt_Schedule_202512.xlsx - Loan 77</t>
      </text>
    </comment>
    <comment ref="C26" authorId="0" shapeId="0">
      <text>
        <t>Loan: Atlantic Union Equipment Finance, AMORTIZING. Source: Meiborg_Debt_Schedule_202512.xlsx - Loan 77</t>
      </text>
    </comment>
    <comment ref="D26" authorId="0" shapeId="0">
      <text>
        <t>Loan: Atlantic Union Equipment Finance, AMORTIZING. Source: Meiborg_Debt_Schedule_202512.xlsx - Loan 77</t>
      </text>
    </comment>
    <comment ref="E26" authorId="0" shapeId="0">
      <text>
        <t>Loan: Atlantic Union Equipment Finance, AMORTIZING. Source: Meiborg_Debt_Schedule_202512.xlsx - Loan 77</t>
      </text>
    </comment>
    <comment ref="F26" authorId="0" shapeId="0">
      <text>
        <t>Loan: Atlantic Union Equipment Finance, AMORTIZING. Source: Meiborg_Debt_Schedule_202512.xlsx - Loan 77</t>
      </text>
    </comment>
    <comment ref="C27" authorId="0" shapeId="0">
      <text>
        <t>Loan: Atlantic Union Equipment Finance, AMORTIZING. Source: Meiborg_Debt_Schedule_202512.xlsx - Loan 77</t>
      </text>
    </comment>
    <comment ref="D27" authorId="0" shapeId="0">
      <text>
        <t>Loan: Atlantic Union Equipment Finance, AMORTIZING. Source: Meiborg_Debt_Schedule_202512.xlsx - Loan 77</t>
      </text>
    </comment>
    <comment ref="E27" authorId="0" shapeId="0">
      <text>
        <t>Loan: Atlantic Union Equipment Finance, AMORTIZING. Source: Meiborg_Debt_Schedule_202512.xlsx - Loan 77</t>
      </text>
    </comment>
    <comment ref="F27" authorId="0" shapeId="0">
      <text>
        <t>Loan: Atlantic Union Equipment Finance, AMORTIZING. Source: Meiborg_Debt_Schedule_202512.xlsx - Loan 77</t>
      </text>
    </comment>
    <comment ref="C28" authorId="0" shapeId="0">
      <text>
        <t>Loan: Atlantic Union Equipment Finance, AMORTIZING. Source: Meiborg_Debt_Schedule_202512.xlsx - Loan 77</t>
      </text>
    </comment>
    <comment ref="D28" authorId="0" shapeId="0">
      <text>
        <t>Loan: Atlantic Union Equipment Finance, AMORTIZING. Source: Meiborg_Debt_Schedule_202512.xlsx - Loan 77</t>
      </text>
    </comment>
    <comment ref="E28" authorId="0" shapeId="0">
      <text>
        <t>Loan: Atlantic Union Equipment Finance, AMORTIZING. Source: Meiborg_Debt_Schedule_202512.xlsx - Loan 77</t>
      </text>
    </comment>
    <comment ref="F28" authorId="0" shapeId="0">
      <text>
        <t>Loan: Atlantic Union Equipment Finance, AMORTIZING. Source: Meiborg_Debt_Schedule_202512.xlsx - Loan 77</t>
      </text>
    </comment>
    <comment ref="C29" authorId="0" shapeId="0">
      <text>
        <t>Loan: Atlantic Union Equipment Finance, AMORTIZING. Source: Meiborg_Debt_Schedule_202512.xlsx - Loan 77</t>
      </text>
    </comment>
    <comment ref="D29" authorId="0" shapeId="0">
      <text>
        <t>Loan: Atlantic Union Equipment Finance, AMORTIZING. Source: Meiborg_Debt_Schedule_202512.xlsx - Loan 77</t>
      </text>
    </comment>
    <comment ref="E29" authorId="0" shapeId="0">
      <text>
        <t>Loan: Atlantic Union Equipment Finance, AMORTIZING. Source: Meiborg_Debt_Schedule_202512.xlsx - Loan 77</t>
      </text>
    </comment>
    <comment ref="F29" authorId="0" shapeId="0">
      <text>
        <t>Loan: Atlantic Union Equipment Finance, AMORTIZING. Source: Meiborg_Debt_Schedule_202512.xlsx - Loan 77</t>
      </text>
    </comment>
    <comment ref="C30" authorId="0" shapeId="0">
      <text>
        <t>Loan: Atlantic Union Equipment Finance, AMORTIZING. Source: Meiborg_Debt_Schedule_202512.xlsx - Loan 77</t>
      </text>
    </comment>
    <comment ref="D30" authorId="0" shapeId="0">
      <text>
        <t>Loan: Atlantic Union Equipment Finance, AMORTIZING. Source: Meiborg_Debt_Schedule_202512.xlsx - Loan 77</t>
      </text>
    </comment>
    <comment ref="E30" authorId="0" shapeId="0">
      <text>
        <t>Loan: Atlantic Union Equipment Finance, AMORTIZING. Source: Meiborg_Debt_Schedule_202512.xlsx - Loan 77</t>
      </text>
    </comment>
    <comment ref="F30" authorId="0" shapeId="0">
      <text>
        <t>Loan: Atlantic Union Equipment Finance, AMORTIZING. Source: Meiborg_Debt_Schedule_202512.xlsx - Loan 77</t>
      </text>
    </comment>
    <comment ref="C31" authorId="0" shapeId="0">
      <text>
        <t>Loan: Atlantic Union Equipment Finance, AMORTIZING. Source: Meiborg_Debt_Schedule_202512.xlsx - Loan 77</t>
      </text>
    </comment>
    <comment ref="D31" authorId="0" shapeId="0">
      <text>
        <t>Loan: Atlantic Union Equipment Finance, AMORTIZING. Source: Meiborg_Debt_Schedule_202512.xlsx - Loan 77</t>
      </text>
    </comment>
    <comment ref="E31" authorId="0" shapeId="0">
      <text>
        <t>Loan: Atlantic Union Equipment Finance, AMORTIZING. Source: Meiborg_Debt_Schedule_202512.xlsx - Loan 77</t>
      </text>
    </comment>
    <comment ref="F31" authorId="0" shapeId="0">
      <text>
        <t>Loan: Atlantic Union Equipment Finance, AMORTIZING. Source: Meiborg_Debt_Schedule_202512.xlsx - Loan 77</t>
      </text>
    </comment>
    <comment ref="C32" authorId="0" shapeId="0">
      <text>
        <t>Loan: Atlantic Union Equipment Finance, AMORTIZING. Source: Meiborg_Debt_Schedule_202512.xlsx - Loan 77</t>
      </text>
    </comment>
    <comment ref="D32" authorId="0" shapeId="0">
      <text>
        <t>Loan: Atlantic Union Equipment Finance, AMORTIZING. Source: Meiborg_Debt_Schedule_202512.xlsx - Loan 77</t>
      </text>
    </comment>
    <comment ref="E32" authorId="0" shapeId="0">
      <text>
        <t>Loan: Atlantic Union Equipment Finance, AMORTIZING. Source: Meiborg_Debt_Schedule_202512.xlsx - Loan 77</t>
      </text>
    </comment>
    <comment ref="F32" authorId="0" shapeId="0">
      <text>
        <t>Loan: Atlantic Union Equipment Finance, AMORTIZING. Source: Meiborg_Debt_Schedule_202512.xlsx - Loan 77</t>
      </text>
    </comment>
    <comment ref="C33" authorId="0" shapeId="0">
      <text>
        <t>Loan: Atlantic Union Equipment Finance, AMORTIZING. Source: Meiborg_Debt_Schedule_202512.xlsx - Loan 77</t>
      </text>
    </comment>
    <comment ref="D33" authorId="0" shapeId="0">
      <text>
        <t>Loan: Atlantic Union Equipment Finance, AMORTIZING. Source: Meiborg_Debt_Schedule_202512.xlsx - Loan 77</t>
      </text>
    </comment>
    <comment ref="E33" authorId="0" shapeId="0">
      <text>
        <t>Loan: Atlantic Union Equipment Finance, AMORTIZING. Source: Meiborg_Debt_Schedule_202512.xlsx - Loan 77</t>
      </text>
    </comment>
    <comment ref="F33" authorId="0" shapeId="0">
      <text>
        <t>Loan: Atlantic Union Equipment Finance, AMORTIZING. Source: Meiborg_Debt_Schedule_202512.xlsx - Loan 77</t>
      </text>
    </comment>
    <comment ref="C34" authorId="0" shapeId="0">
      <text>
        <t>Loan: Atlantic Union Equipment Finance, AMORTIZING. Source: Meiborg_Debt_Schedule_202512.xlsx - Loan 77</t>
      </text>
    </comment>
    <comment ref="D34" authorId="0" shapeId="0">
      <text>
        <t>Loan: Atlantic Union Equipment Finance, AMORTIZING. Source: Meiborg_Debt_Schedule_202512.xlsx - Loan 77</t>
      </text>
    </comment>
    <comment ref="E34" authorId="0" shapeId="0">
      <text>
        <t>Loan: Atlantic Union Equipment Finance, AMORTIZING. Source: Meiborg_Debt_Schedule_202512.xlsx - Loan 77</t>
      </text>
    </comment>
    <comment ref="F34" authorId="0" shapeId="0">
      <text>
        <t>Loan: Atlantic Union Equipment Finance, AMORTIZING. Source: Meiborg_Debt_Schedule_202512.xlsx - Loan 77</t>
      </text>
    </comment>
    <comment ref="C35" authorId="0" shapeId="0">
      <text>
        <t>Loan: Atlantic Union Equipment Finance, AMORTIZING. Source: Meiborg_Debt_Schedule_202512.xlsx - Loan 77</t>
      </text>
    </comment>
    <comment ref="D35" authorId="0" shapeId="0">
      <text>
        <t>Loan: Atlantic Union Equipment Finance, AMORTIZING. Source: Meiborg_Debt_Schedule_202512.xlsx - Loan 77</t>
      </text>
    </comment>
    <comment ref="E35" authorId="0" shapeId="0">
      <text>
        <t>Loan: Atlantic Union Equipment Finance, AMORTIZING. Source: Meiborg_Debt_Schedule_202512.xlsx - Loan 77</t>
      </text>
    </comment>
    <comment ref="F35" authorId="0" shapeId="0">
      <text>
        <t>Loan: Atlantic Union Equipment Finance, AMORTIZING. Source: Meiborg_Debt_Schedule_202512.xlsx - Loan 77</t>
      </text>
    </comment>
    <comment ref="C36" authorId="0" shapeId="0">
      <text>
        <t>Loan: Atlantic Union Equipment Finance, AMORTIZING. Source: Meiborg_Debt_Schedule_202512.xlsx - Loan 77</t>
      </text>
    </comment>
    <comment ref="D36" authorId="0" shapeId="0">
      <text>
        <t>Loan: Atlantic Union Equipment Finance, AMORTIZING. Source: Meiborg_Debt_Schedule_202512.xlsx - Loan 77</t>
      </text>
    </comment>
    <comment ref="E36" authorId="0" shapeId="0">
      <text>
        <t>Loan: Atlantic Union Equipment Finance, AMORTIZING. Source: Meiborg_Debt_Schedule_202512.xlsx - Loan 77</t>
      </text>
    </comment>
    <comment ref="F36" authorId="0" shapeId="0">
      <text>
        <t>Loan: Atlantic Union Equipment Finance, AMORTIZING. Source: Meiborg_Debt_Schedule_202512.xlsx - Loan 77</t>
      </text>
    </comment>
    <comment ref="C37" authorId="0" shapeId="0">
      <text>
        <t>Loan: Atlantic Union Equipment Finance, AMORTIZING. Source: Meiborg_Debt_Schedule_202512.xlsx - Loan 77</t>
      </text>
    </comment>
    <comment ref="D37" authorId="0" shapeId="0">
      <text>
        <t>Loan: Atlantic Union Equipment Finance, AMORTIZING. Source: Meiborg_Debt_Schedule_202512.xlsx - Loan 77</t>
      </text>
    </comment>
    <comment ref="E37" authorId="0" shapeId="0">
      <text>
        <t>Loan: Atlantic Union Equipment Finance, AMORTIZING. Source: Meiborg_Debt_Schedule_202512.xlsx - Loan 77</t>
      </text>
    </comment>
    <comment ref="F37" authorId="0" shapeId="0">
      <text>
        <t>Loan: Atlantic Union Equipment Finance, AMORTIZING. Source: Meiborg_Debt_Schedule_202512.xlsx - Loan 77</t>
      </text>
    </comment>
    <comment ref="C38" authorId="0" shapeId="0">
      <text>
        <t>Loan: Atlantic Union Equipment Finance, AMORTIZING. Source: Meiborg_Debt_Schedule_202512.xlsx - Loan 77</t>
      </text>
    </comment>
    <comment ref="D38" authorId="0" shapeId="0">
      <text>
        <t>Loan: Atlantic Union Equipment Finance, AMORTIZING. Source: Meiborg_Debt_Schedule_202512.xlsx - Loan 77</t>
      </text>
    </comment>
    <comment ref="E38" authorId="0" shapeId="0">
      <text>
        <t>Loan: Atlantic Union Equipment Finance, AMORTIZING. Source: Meiborg_Debt_Schedule_202512.xlsx - Loan 77</t>
      </text>
    </comment>
    <comment ref="F38" authorId="0" shapeId="0">
      <text>
        <t>Loan: Atlantic Union Equipment Finance, AMORTIZING. Source: Meiborg_Debt_Schedule_202512.xlsx - Loan 77</t>
      </text>
    </comment>
    <comment ref="C39" authorId="0" shapeId="0">
      <text>
        <t>Loan: Atlantic Union Equipment Finance, AMORTIZING. Source: Meiborg_Debt_Schedule_202512.xlsx - Loan 77</t>
      </text>
    </comment>
    <comment ref="D39" authorId="0" shapeId="0">
      <text>
        <t>Loan: Atlantic Union Equipment Finance, AMORTIZING. Source: Meiborg_Debt_Schedule_202512.xlsx - Loan 77</t>
      </text>
    </comment>
    <comment ref="E39" authorId="0" shapeId="0">
      <text>
        <t>Loan: Atlantic Union Equipment Finance, AMORTIZING. Source: Meiborg_Debt_Schedule_202512.xlsx - Loan 77</t>
      </text>
    </comment>
    <comment ref="F39" authorId="0" shapeId="0">
      <text>
        <t>Loan: Atlantic Union Equipment Finance, AMORTIZING. Source: Meiborg_Debt_Schedule_202512.xlsx - Loan 77</t>
      </text>
    </comment>
    <comment ref="C40" authorId="0" shapeId="0">
      <text>
        <t>Loan: Atlantic Union Equipment Finance, AMORTIZING. Source: Meiborg_Debt_Schedule_202512.xlsx - Loan 77</t>
      </text>
    </comment>
    <comment ref="D40" authorId="0" shapeId="0">
      <text>
        <t>Loan: Atlantic Union Equipment Finance, AMORTIZING. Source: Meiborg_Debt_Schedule_202512.xlsx - Loan 77</t>
      </text>
    </comment>
    <comment ref="E40" authorId="0" shapeId="0">
      <text>
        <t>Loan: Atlantic Union Equipment Finance, AMORTIZING. Source: Meiborg_Debt_Schedule_202512.xlsx - Loan 77</t>
      </text>
    </comment>
    <comment ref="F40" authorId="0" shapeId="0">
      <text>
        <t>Loan: Atlantic Union Equipment Finance, AMORTIZING. Source: Meiborg_Debt_Schedule_202512.xlsx - Loan 77</t>
      </text>
    </comment>
    <comment ref="C41" authorId="0" shapeId="0">
      <text>
        <t>Loan: Atlantic Union Equipment Finance, AMORTIZING. Source: Meiborg_Debt_Schedule_202512.xlsx - Loan 77</t>
      </text>
    </comment>
    <comment ref="D41" authorId="0" shapeId="0">
      <text>
        <t>Loan: Atlantic Union Equipment Finance, AMORTIZING. Source: Meiborg_Debt_Schedule_202512.xlsx - Loan 77</t>
      </text>
    </comment>
    <comment ref="E41" authorId="0" shapeId="0">
      <text>
        <t>Loan: Atlantic Union Equipment Finance, AMORTIZING. Source: Meiborg_Debt_Schedule_202512.xlsx - Loan 77</t>
      </text>
    </comment>
    <comment ref="F41" authorId="0" shapeId="0">
      <text>
        <t>Loan: Atlantic Union Equipment Finance, AMORTIZING. Source: Meiborg_Debt_Schedule_202512.xlsx - Loan 77</t>
      </text>
    </comment>
    <comment ref="C42" authorId="0" shapeId="0">
      <text>
        <t>Loan: Atlantic Union Equipment Finance, AMORTIZING. Source: Meiborg_Debt_Schedule_202512.xlsx - Loan 77</t>
      </text>
    </comment>
    <comment ref="D42" authorId="0" shapeId="0">
      <text>
        <t>Loan: Atlantic Union Equipment Finance, AMORTIZING. Source: Meiborg_Debt_Schedule_202512.xlsx - Loan 77</t>
      </text>
    </comment>
    <comment ref="E42" authorId="0" shapeId="0">
      <text>
        <t>Loan: Atlantic Union Equipment Finance, AMORTIZING. Source: Meiborg_Debt_Schedule_202512.xlsx - Loan 77</t>
      </text>
    </comment>
    <comment ref="F42" authorId="0" shapeId="0">
      <text>
        <t>Loan: Atlantic Union Equipment Finance, AMORTIZING. Source: Meiborg_Debt_Schedule_202512.xlsx - Loan 77</t>
      </text>
    </comment>
    <comment ref="C43" authorId="0" shapeId="0">
      <text>
        <t>Loan: Atlantic Union Equipment Finance, AMORTIZING. Source: Meiborg_Debt_Schedule_202512.xlsx - Loan 77</t>
      </text>
    </comment>
    <comment ref="D43" authorId="0" shapeId="0">
      <text>
        <t>Loan: Atlantic Union Equipment Finance, AMORTIZING. Source: Meiborg_Debt_Schedule_202512.xlsx - Loan 77</t>
      </text>
    </comment>
    <comment ref="E43" authorId="0" shapeId="0">
      <text>
        <t>Loan: Atlantic Union Equipment Finance, AMORTIZING. Source: Meiborg_Debt_Schedule_202512.xlsx - Loan 77</t>
      </text>
    </comment>
    <comment ref="F43" authorId="0" shapeId="0">
      <text>
        <t>Loan: Atlantic Union Equipment Finance, AMORTIZING. Source: Meiborg_Debt_Schedule_202512.xlsx - Loan 77</t>
      </text>
    </comment>
    <comment ref="C44" authorId="0" shapeId="0">
      <text>
        <t>Loan: Atlantic Union Equipment Finance, AMORTIZING. Source: Meiborg_Debt_Schedule_202512.xlsx - Loan 77</t>
      </text>
    </comment>
    <comment ref="D44" authorId="0" shapeId="0">
      <text>
        <t>Loan: Atlantic Union Equipment Finance, AMORTIZING. Source: Meiborg_Debt_Schedule_202512.xlsx - Loan 77</t>
      </text>
    </comment>
    <comment ref="E44" authorId="0" shapeId="0">
      <text>
        <t>Loan: Atlantic Union Equipment Finance, AMORTIZING. Source: Meiborg_Debt_Schedule_202512.xlsx - Loan 77</t>
      </text>
    </comment>
    <comment ref="F44" authorId="0" shapeId="0">
      <text>
        <t>Loan: Atlantic Union Equipment Finance, AMORTIZING. Source: Meiborg_Debt_Schedule_202512.xlsx - Loan 77</t>
      </text>
    </comment>
    <comment ref="C45" authorId="0" shapeId="0">
      <text>
        <t>Loan: Atlantic Union Equipment Finance, AMORTIZING. Source: Meiborg_Debt_Schedule_202512.xlsx - Loan 77</t>
      </text>
    </comment>
    <comment ref="D45" authorId="0" shapeId="0">
      <text>
        <t>Loan: Atlantic Union Equipment Finance, AMORTIZING. Source: Meiborg_Debt_Schedule_202512.xlsx - Loan 77</t>
      </text>
    </comment>
    <comment ref="E45" authorId="0" shapeId="0">
      <text>
        <t>Loan: Atlantic Union Equipment Finance, AMORTIZING. Source: Meiborg_Debt_Schedule_202512.xlsx - Loan 77</t>
      </text>
    </comment>
    <comment ref="F45" authorId="0" shapeId="0">
      <text>
        <t>Loan: Atlantic Union Equipment Finance, AMORTIZING. Source: Meiborg_Debt_Schedule_202512.xlsx - Loan 77</t>
      </text>
    </comment>
    <comment ref="C46" authorId="0" shapeId="0">
      <text>
        <t>Loan: Atlantic Union Equipment Finance, AMORTIZING. Source: Meiborg_Debt_Schedule_202512.xlsx - Loan 77</t>
      </text>
    </comment>
    <comment ref="D46" authorId="0" shapeId="0">
      <text>
        <t>Loan: Atlantic Union Equipment Finance, AMORTIZING. Source: Meiborg_Debt_Schedule_202512.xlsx - Loan 77</t>
      </text>
    </comment>
    <comment ref="E46" authorId="0" shapeId="0">
      <text>
        <t>Loan: Atlantic Union Equipment Finance, AMORTIZING. Source: Meiborg_Debt_Schedule_202512.xlsx - Loan 77</t>
      </text>
    </comment>
    <comment ref="F46" authorId="0" shapeId="0">
      <text>
        <t>Loan: Atlantic Union Equipment Finance, AMORTIZING. Source: Meiborg_Debt_Schedule_202512.xlsx - Loan 77</t>
      </text>
    </comment>
    <comment ref="C47" authorId="0" shapeId="0">
      <text>
        <t>Loan: Atlantic Union Equipment Finance, AMORTIZING. Source: Meiborg_Debt_Schedule_202512.xlsx - Loan 77</t>
      </text>
    </comment>
    <comment ref="D47" authorId="0" shapeId="0">
      <text>
        <t>Loan: Atlantic Union Equipment Finance, AMORTIZING. Source: Meiborg_Debt_Schedule_202512.xlsx - Loan 77</t>
      </text>
    </comment>
    <comment ref="E47" authorId="0" shapeId="0">
      <text>
        <t>Loan: Atlantic Union Equipment Finance, AMORTIZING. Source: Meiborg_Debt_Schedule_202512.xlsx - Loan 77</t>
      </text>
    </comment>
    <comment ref="F47" authorId="0" shapeId="0">
      <text>
        <t>Loan: Atlantic Union Equipment Finance, AMORTIZING. Source: Meiborg_Debt_Schedule_202512.xlsx - Loan 77</t>
      </text>
    </comment>
    <comment ref="C48" authorId="0" shapeId="0">
      <text>
        <t>Loan: Atlantic Union Equipment Finance, AMORTIZING. Source: Meiborg_Debt_Schedule_202512.xlsx - Loan 77</t>
      </text>
    </comment>
    <comment ref="D48" authorId="0" shapeId="0">
      <text>
        <t>Loan: Atlantic Union Equipment Finance, AMORTIZING. Source: Meiborg_Debt_Schedule_202512.xlsx - Loan 77</t>
      </text>
    </comment>
    <comment ref="E48" authorId="0" shapeId="0">
      <text>
        <t>Loan: Atlantic Union Equipment Finance, AMORTIZING. Source: Meiborg_Debt_Schedule_202512.xlsx - Loan 77</t>
      </text>
    </comment>
    <comment ref="F48" authorId="0" shapeId="0">
      <text>
        <t>Loan: Atlantic Union Equipment Finance, AMORTIZING. Source: Meiborg_Debt_Schedule_202512.xlsx - Loan 77</t>
      </text>
    </comment>
    <comment ref="C49" authorId="0" shapeId="0">
      <text>
        <t>Loan: Atlantic Union Equipment Finance, AMORTIZING. Source: Meiborg_Debt_Schedule_202512.xlsx - Loan 77</t>
      </text>
    </comment>
    <comment ref="D49" authorId="0" shapeId="0">
      <text>
        <t>Loan: Atlantic Union Equipment Finance, AMORTIZING. Source: Meiborg_Debt_Schedule_202512.xlsx - Loan 77</t>
      </text>
    </comment>
    <comment ref="E49" authorId="0" shapeId="0">
      <text>
        <t>Loan: Atlantic Union Equipment Finance, AMORTIZING. Source: Meiborg_Debt_Schedule_202512.xlsx - Loan 77</t>
      </text>
    </comment>
    <comment ref="F49" authorId="0" shapeId="0">
      <text>
        <t>Loan: Atlantic Union Equipment Finance, AMORTIZING. Source: Meiborg_Debt_Schedule_202512.xlsx - Loan 77</t>
      </text>
    </comment>
    <comment ref="C50" authorId="0" shapeId="0">
      <text>
        <t>Loan: Atlantic Union Equipment Finance, AMORTIZING. Source: Meiborg_Debt_Schedule_202512.xlsx - Loan 77</t>
      </text>
    </comment>
    <comment ref="D50" authorId="0" shapeId="0">
      <text>
        <t>Loan: Atlantic Union Equipment Finance, AMORTIZING. Source: Meiborg_Debt_Schedule_202512.xlsx - Loan 77</t>
      </text>
    </comment>
    <comment ref="E50" authorId="0" shapeId="0">
      <text>
        <t>Loan: Atlantic Union Equipment Finance, AMORTIZING. Source: Meiborg_Debt_Schedule_202512.xlsx - Loan 77</t>
      </text>
    </comment>
    <comment ref="F50" authorId="0" shapeId="0">
      <text>
        <t>Loan: Atlantic Union Equipment Finance, AMORTIZING. Source: Meiborg_Debt_Schedule_202512.xlsx - Loan 77</t>
      </text>
    </comment>
    <comment ref="C51" authorId="0" shapeId="0">
      <text>
        <t>Loan: Atlantic Union Equipment Finance, AMORTIZING. Source: Meiborg_Debt_Schedule_202512.xlsx - Loan 77</t>
      </text>
    </comment>
    <comment ref="D51" authorId="0" shapeId="0">
      <text>
        <t>Loan: Atlantic Union Equipment Finance, AMORTIZING. Source: Meiborg_Debt_Schedule_202512.xlsx - Loan 77</t>
      </text>
    </comment>
    <comment ref="E51" authorId="0" shapeId="0">
      <text>
        <t>Loan: Atlantic Union Equipment Finance, AMORTIZING. Source: Meiborg_Debt_Schedule_202512.xlsx - Loan 77</t>
      </text>
    </comment>
    <comment ref="F51" authorId="0" shapeId="0">
      <text>
        <t>Loan: Atlantic Union Equipment Finance, AMORTIZING. Source: Meiborg_Debt_Schedule_202512.xlsx - Loan 77</t>
      </text>
    </comment>
    <comment ref="C52" authorId="0" shapeId="0">
      <text>
        <t>Loan: Atlantic Union Equipment Finance, AMORTIZING. Source: Meiborg_Debt_Schedule_202512.xlsx - Loan 77</t>
      </text>
    </comment>
    <comment ref="D52" authorId="0" shapeId="0">
      <text>
        <t>Loan: Atlantic Union Equipment Finance, AMORTIZING. Source: Meiborg_Debt_Schedule_202512.xlsx - Loan 77</t>
      </text>
    </comment>
    <comment ref="E52" authorId="0" shapeId="0">
      <text>
        <t>Loan: Atlantic Union Equipment Finance, AMORTIZING. Source: Meiborg_Debt_Schedule_202512.xlsx - Loan 77</t>
      </text>
    </comment>
    <comment ref="F52" authorId="0" shapeId="0">
      <text>
        <t>Loan: Atlantic Union Equipment Finance, AMORTIZING. Source: Meiborg_Debt_Schedule_202512.xlsx - Loan 77</t>
      </text>
    </comment>
    <comment ref="C53" authorId="0" shapeId="0">
      <text>
        <t>Loan: Atlantic Union Equipment Finance, AMORTIZING. Source: Meiborg_Debt_Schedule_202512.xlsx - Loan 77</t>
      </text>
    </comment>
    <comment ref="D53" authorId="0" shapeId="0">
      <text>
        <t>Loan: Atlantic Union Equipment Finance, AMORTIZING. Source: Meiborg_Debt_Schedule_202512.xlsx - Loan 77</t>
      </text>
    </comment>
    <comment ref="E53" authorId="0" shapeId="0">
      <text>
        <t>Loan: Atlantic Union Equipment Finance, AMORTIZING. Source: Meiborg_Debt_Schedule_202512.xlsx - Loan 77</t>
      </text>
    </comment>
    <comment ref="F53" authorId="0" shapeId="0">
      <text>
        <t>Loan: Atlantic Union Equipment Finance, AMORTIZING. Source: Meiborg_Debt_Schedule_202512.xlsx - Loan 77</t>
      </text>
    </comment>
    <comment ref="C54" authorId="0" shapeId="0">
      <text>
        <t>Loan: Atlantic Union Equipment Finance, AMORTIZING. Source: Meiborg_Debt_Schedule_202512.xlsx - Loan 77</t>
      </text>
    </comment>
    <comment ref="D54" authorId="0" shapeId="0">
      <text>
        <t>Loan: Atlantic Union Equipment Finance, AMORTIZING. Source: Meiborg_Debt_Schedule_202512.xlsx - Loan 77</t>
      </text>
    </comment>
    <comment ref="E54" authorId="0" shapeId="0">
      <text>
        <t>Loan: Atlantic Union Equipment Finance, AMORTIZING. Source: Meiborg_Debt_Schedule_202512.xlsx - Loan 77</t>
      </text>
    </comment>
    <comment ref="F54" authorId="0" shapeId="0">
      <text>
        <t>Loan: Atlantic Union Equipment Finance, AMORTIZING. Source: Meiborg_Debt_Schedule_202512.xlsx - Loan 77</t>
      </text>
    </comment>
    <comment ref="C55" authorId="0" shapeId="0">
      <text>
        <t>Loan: Atlantic Union Equipment Finance, AMORTIZING. Source: Meiborg_Debt_Schedule_202512.xlsx - Loan 77</t>
      </text>
    </comment>
    <comment ref="D55" authorId="0" shapeId="0">
      <text>
        <t>Loan: Atlantic Union Equipment Finance, AMORTIZING. Source: Meiborg_Debt_Schedule_202512.xlsx - Loan 77</t>
      </text>
    </comment>
    <comment ref="E55" authorId="0" shapeId="0">
      <text>
        <t>Loan: Atlantic Union Equipment Finance, AMORTIZING. Source: Meiborg_Debt_Schedule_202512.xlsx - Loan 77</t>
      </text>
    </comment>
    <comment ref="F55" authorId="0" shapeId="0">
      <text>
        <t>Loan: Atlantic Union Equipment Finance, AMORTIZING. Source: Meiborg_Debt_Schedule_202512.xlsx - Loan 77</t>
      </text>
    </comment>
    <comment ref="C56" authorId="0" shapeId="0">
      <text>
        <t>Loan: Atlantic Union Equipment Finance, AMORTIZING. Source: Meiborg_Debt_Schedule_202512.xlsx - Loan 77</t>
      </text>
    </comment>
    <comment ref="D56" authorId="0" shapeId="0">
      <text>
        <t>Loan: Atlantic Union Equipment Finance, AMORTIZING. Source: Meiborg_Debt_Schedule_202512.xlsx - Loan 77</t>
      </text>
    </comment>
    <comment ref="E56" authorId="0" shapeId="0">
      <text>
        <t>Loan: Atlantic Union Equipment Finance, AMORTIZING. Source: Meiborg_Debt_Schedule_202512.xlsx - Loan 77</t>
      </text>
    </comment>
    <comment ref="F56" authorId="0" shapeId="0">
      <text>
        <t>Loan: Atlantic Union Equipment Finance, AMORTIZING. Source: Meiborg_Debt_Schedule_202512.xlsx - Loan 77</t>
      </text>
    </comment>
    <comment ref="C57" authorId="0" shapeId="0">
      <text>
        <t>Loan: Atlantic Union Equipment Finance, AMORTIZING. Source: Meiborg_Debt_Schedule_202512.xlsx - Loan 77</t>
      </text>
    </comment>
    <comment ref="D57" authorId="0" shapeId="0">
      <text>
        <t>Loan: Atlantic Union Equipment Finance, AMORTIZING. Source: Meiborg_Debt_Schedule_202512.xlsx - Loan 77</t>
      </text>
    </comment>
    <comment ref="E57" authorId="0" shapeId="0">
      <text>
        <t>Loan: Atlantic Union Equipment Finance, AMORTIZING. Source: Meiborg_Debt_Schedule_202512.xlsx - Loan 77</t>
      </text>
    </comment>
    <comment ref="F57" authorId="0" shapeId="0">
      <text>
        <t>Loan: Atlantic Union Equipment Finance, AMORTIZING. Source: Meiborg_Debt_Schedule_202512.xlsx - Loan 77</t>
      </text>
    </comment>
    <comment ref="C58" authorId="0" shapeId="0">
      <text>
        <t>Loan: Atlantic Union Equipment Finance, AMORTIZING. Source: Meiborg_Debt_Schedule_202512.xlsx - Loan 77</t>
      </text>
    </comment>
    <comment ref="D58" authorId="0" shapeId="0">
      <text>
        <t>Loan: Atlantic Union Equipment Finance, AMORTIZING. Source: Meiborg_Debt_Schedule_202512.xlsx - Loan 77</t>
      </text>
    </comment>
    <comment ref="E58" authorId="0" shapeId="0">
      <text>
        <t>Loan: Atlantic Union Equipment Finance, AMORTIZING. Source: Meiborg_Debt_Schedule_202512.xlsx - Loan 77</t>
      </text>
    </comment>
    <comment ref="F58" authorId="0" shapeId="0">
      <text>
        <t>Loan: Atlantic Union Equipment Finance, AMORTIZING. Source: Meiborg_Debt_Schedule_202512.xlsx - Loan 77</t>
      </text>
    </comment>
    <comment ref="C59" authorId="0" shapeId="0">
      <text>
        <t>Loan: Atlantic Union Equipment Finance, AMORTIZING. Source: Meiborg_Debt_Schedule_202512.xlsx - Loan 77</t>
      </text>
    </comment>
    <comment ref="D59" authorId="0" shapeId="0">
      <text>
        <t>Loan: Atlantic Union Equipment Finance, AMORTIZING. Source: Meiborg_Debt_Schedule_202512.xlsx - Loan 77</t>
      </text>
    </comment>
    <comment ref="E59" authorId="0" shapeId="0">
      <text>
        <t>Loan: Atlantic Union Equipment Finance, AMORTIZING. Source: Meiborg_Debt_Schedule_202512.xlsx - Loan 77</t>
      </text>
    </comment>
    <comment ref="F59" authorId="0" shapeId="0">
      <text>
        <t>Loan: Atlantic Union Equipment Finance, AMORTIZING. Source: Meiborg_Debt_Schedule_202512.xlsx - Loan 77</t>
      </text>
    </comment>
    <comment ref="C60" authorId="0" shapeId="0">
      <text>
        <t>Loan: Atlantic Union Equipment Finance, AMORTIZING. Source: Meiborg_Debt_Schedule_202512.xlsx - Loan 77</t>
      </text>
    </comment>
    <comment ref="D60" authorId="0" shapeId="0">
      <text>
        <t>Loan: Atlantic Union Equipment Finance, AMORTIZING. Source: Meiborg_Debt_Schedule_202512.xlsx - Loan 77</t>
      </text>
    </comment>
    <comment ref="E60" authorId="0" shapeId="0">
      <text>
        <t>Loan: Atlantic Union Equipment Finance, AMORTIZING. Source: Meiborg_Debt_Schedule_202512.xlsx - Loan 77</t>
      </text>
    </comment>
    <comment ref="F60" authorId="0" shapeId="0">
      <text>
        <t>Loan: Atlantic Union Equipment Finance, AMORTIZING. Source: Meiborg_Debt_Schedule_202512.xlsx - Loan 77</t>
      </text>
    </comment>
    <comment ref="C61" authorId="0" shapeId="0">
      <text>
        <t>Loan: Atlantic Union Equipment Finance, AMORTIZING. Source: Meiborg_Debt_Schedule_202512.xlsx - Loan 77</t>
      </text>
    </comment>
    <comment ref="D61" authorId="0" shapeId="0">
      <text>
        <t>Loan: Atlantic Union Equipment Finance, AMORTIZING. Source: Meiborg_Debt_Schedule_202512.xlsx - Loan 77</t>
      </text>
    </comment>
    <comment ref="E61" authorId="0" shapeId="0">
      <text>
        <t>Loan: Atlantic Union Equipment Finance, AMORTIZING. Source: Meiborg_Debt_Schedule_202512.xlsx - Loan 77</t>
      </text>
    </comment>
    <comment ref="F61" authorId="0" shapeId="0">
      <text>
        <t>Loan: Atlantic Union Equipment Finance, AMORTIZING. Source: Meiborg_Debt_Schedule_202512.xlsx - Loan 77</t>
      </text>
    </comment>
    <comment ref="C62" authorId="0" shapeId="0">
      <text>
        <t>Loan: Atlantic Union Equipment Finance, AMORTIZING. Source: Meiborg_Debt_Schedule_202512.xlsx - Loan 77</t>
      </text>
    </comment>
    <comment ref="D62" authorId="0" shapeId="0">
      <text>
        <t>Loan: Atlantic Union Equipment Finance, AMORTIZING. Source: Meiborg_Debt_Schedule_202512.xlsx - Loan 77</t>
      </text>
    </comment>
    <comment ref="E62" authorId="0" shapeId="0">
      <text>
        <t>Loan: Atlantic Union Equipment Finance, AMORTIZING. Source: Meiborg_Debt_Schedule_202512.xlsx - Loan 77</t>
      </text>
    </comment>
    <comment ref="F62" authorId="0" shapeId="0">
      <text>
        <t>Loan: Atlantic Union Equipment Finance, AMORTIZING. Source: Meiborg_Debt_Schedule_202512.xlsx - Loan 77</t>
      </text>
    </comment>
    <comment ref="C63" authorId="0" shapeId="0">
      <text>
        <t>Loan: Atlantic Union Equipment Finance, AMORTIZING. Source: Meiborg_Debt_Schedule_202512.xlsx - Loan 77</t>
      </text>
    </comment>
    <comment ref="D63" authorId="0" shapeId="0">
      <text>
        <t>Loan: Atlantic Union Equipment Finance, AMORTIZING. Source: Meiborg_Debt_Schedule_202512.xlsx - Loan 77</t>
      </text>
    </comment>
    <comment ref="E63" authorId="0" shapeId="0">
      <text>
        <t>Loan: Atlantic Union Equipment Finance, AMORTIZING. Source: Meiborg_Debt_Schedule_202512.xlsx - Loan 77</t>
      </text>
    </comment>
    <comment ref="F63" authorId="0" shapeId="0">
      <text>
        <t>Loan: Atlantic Union Equipment Finance, AMORTIZING. Source: Meiborg_Debt_Schedule_202512.xlsx - Loan 77</t>
      </text>
    </comment>
    <comment ref="C64" authorId="0" shapeId="0">
      <text>
        <t>Loan: Atlantic Union Equipment Finance, AMORTIZING. Source: Meiborg_Debt_Schedule_202512.xlsx - Loan 77</t>
      </text>
    </comment>
    <comment ref="D64" authorId="0" shapeId="0">
      <text>
        <t>Loan: Atlantic Union Equipment Finance, AMORTIZING. Source: Meiborg_Debt_Schedule_202512.xlsx - Loan 77</t>
      </text>
    </comment>
    <comment ref="E64" authorId="0" shapeId="0">
      <text>
        <t>Loan: Atlantic Union Equipment Finance, AMORTIZING. Source: Meiborg_Debt_Schedule_202512.xlsx - Loan 77</t>
      </text>
    </comment>
    <comment ref="F64" authorId="0" shapeId="0">
      <text>
        <t>Loan: Atlantic Union Equipment Finance, AMORTIZING. Source: Meiborg_Debt_Schedule_202512.xlsx - Loan 77</t>
      </text>
    </comment>
    <comment ref="C65" authorId="0" shapeId="0">
      <text>
        <t>Loan: Atlantic Union Equipment Finance, AMORTIZING. Source: Meiborg_Debt_Schedule_202512.xlsx - Loan 77</t>
      </text>
    </comment>
    <comment ref="D65" authorId="0" shapeId="0">
      <text>
        <t>Loan: Atlantic Union Equipment Finance, AMORTIZING. Source: Meiborg_Debt_Schedule_202512.xlsx - Loan 77</t>
      </text>
    </comment>
    <comment ref="E65" authorId="0" shapeId="0">
      <text>
        <t>Loan: Atlantic Union Equipment Finance, AMORTIZING. Source: Meiborg_Debt_Schedule_202512.xlsx - Loan 77</t>
      </text>
    </comment>
    <comment ref="F65" authorId="0" shapeId="0">
      <text>
        <t>Loan: Atlantic Union Equipment Finance, AMORTIZING. Source: Meiborg_Debt_Schedule_202512.xlsx - Loan 77</t>
      </text>
    </comment>
    <comment ref="C66" authorId="0" shapeId="0">
      <text>
        <t>Loan: Atlantic Union Equipment Finance, AMORTIZING. Source: Meiborg_Debt_Schedule_202512.xlsx - Loan 77</t>
      </text>
    </comment>
    <comment ref="D66" authorId="0" shapeId="0">
      <text>
        <t>Loan: Atlantic Union Equipment Finance, AMORTIZING. Source: Meiborg_Debt_Schedule_202512.xlsx - Loan 77</t>
      </text>
    </comment>
    <comment ref="E66" authorId="0" shapeId="0">
      <text>
        <t>Loan: Atlantic Union Equipment Finance, AMORTIZING. Source: Meiborg_Debt_Schedule_202512.xlsx - Loan 77</t>
      </text>
    </comment>
    <comment ref="F66" authorId="0" shapeId="0">
      <text>
        <t>Loan: Atlantic Union Equipment Finance, AMORTIZING. Source: Meiborg_Debt_Schedule_202512.xlsx - Loan 77</t>
      </text>
    </comment>
    <comment ref="C67" authorId="0" shapeId="0">
      <text>
        <t>Loan: Atlantic Union Equipment Finance, AMORTIZING. Source: Meiborg_Debt_Schedule_202512.xlsx - Loan 77</t>
      </text>
    </comment>
    <comment ref="D67" authorId="0" shapeId="0">
      <text>
        <t>Loan: Atlantic Union Equipment Finance, AMORTIZING. Source: Meiborg_Debt_Schedule_202512.xlsx - Loan 77</t>
      </text>
    </comment>
    <comment ref="E67" authorId="0" shapeId="0">
      <text>
        <t>Loan: Atlantic Union Equipment Finance, AMORTIZING. Source: Meiborg_Debt_Schedule_202512.xlsx - Loan 77</t>
      </text>
    </comment>
    <comment ref="F67" authorId="0" shapeId="0">
      <text>
        <t>Loan: Atlantic Union Equipment Finance, AMORTIZING. Source: Meiborg_Debt_Schedule_202512.xlsx - Loan 77</t>
      </text>
    </comment>
    <comment ref="C68" authorId="0" shapeId="0">
      <text>
        <t>Loan: Atlantic Union Equipment Finance, AMORTIZING. Source: Meiborg_Debt_Schedule_202512.xlsx - Loan 77</t>
      </text>
    </comment>
    <comment ref="D68" authorId="0" shapeId="0">
      <text>
        <t>Loan: Atlantic Union Equipment Finance, AMORTIZING. Source: Meiborg_Debt_Schedule_202512.xlsx - Loan 77</t>
      </text>
    </comment>
    <comment ref="E68" authorId="0" shapeId="0">
      <text>
        <t>Loan: Atlantic Union Equipment Finance, AMORTIZING. Source: Meiborg_Debt_Schedule_202512.xlsx - Loan 77</t>
      </text>
    </comment>
    <comment ref="F68" authorId="0" shapeId="0">
      <text>
        <t>Loan: Atlantic Union Equipment Finance, AMORTIZING. Source: Meiborg_Debt_Schedule_202512.xlsx - Loan 77</t>
      </text>
    </comment>
    <comment ref="C69" authorId="0" shapeId="0">
      <text>
        <t>Loan: Atlantic Union Equipment Finance, AMORTIZING. Source: Meiborg_Debt_Schedule_202512.xlsx - Loan 77</t>
      </text>
    </comment>
    <comment ref="D69" authorId="0" shapeId="0">
      <text>
        <t>Loan: Atlantic Union Equipment Finance, AMORTIZING. Source: Meiborg_Debt_Schedule_202512.xlsx - Loan 77</t>
      </text>
    </comment>
    <comment ref="E69" authorId="0" shapeId="0">
      <text>
        <t>Loan: Atlantic Union Equipment Finance, AMORTIZING. Source: Meiborg_Debt_Schedule_202512.xlsx - Loan 77</t>
      </text>
    </comment>
    <comment ref="F69" authorId="0" shapeId="0">
      <text>
        <t>Loan: Atlantic Union Equipment Finance, AMORTIZING. Source: Meiborg_Debt_Schedule_202512.xlsx - Loan 77</t>
      </text>
    </comment>
    <comment ref="C70" authorId="0" shapeId="0">
      <text>
        <t>Loan: Atlantic Union Equipment Finance, AMORTIZING. Source: Meiborg_Debt_Schedule_202512.xlsx - Loan 77</t>
      </text>
    </comment>
    <comment ref="D70" authorId="0" shapeId="0">
      <text>
        <t>Loan: Atlantic Union Equipment Finance, AMORTIZING. Source: Meiborg_Debt_Schedule_202512.xlsx - Loan 77</t>
      </text>
    </comment>
    <comment ref="E70" authorId="0" shapeId="0">
      <text>
        <t>Loan: Atlantic Union Equipment Finance, AMORTIZING. Source: Meiborg_Debt_Schedule_202512.xlsx - Loan 77</t>
      </text>
    </comment>
    <comment ref="F70" authorId="0" shapeId="0">
      <text>
        <t>Loan: Atlantic Union Equipment Finance, AMORTIZING. Source: Meiborg_Debt_Schedule_202512.xlsx - Loan 77</t>
      </text>
    </comment>
    <comment ref="C71" authorId="0" shapeId="0">
      <text>
        <t>Loan: Atlantic Union Equipment Finance, AMORTIZING. Source: Meiborg_Debt_Schedule_202512.xlsx - Loan 77</t>
      </text>
    </comment>
    <comment ref="D71" authorId="0" shapeId="0">
      <text>
        <t>Loan: Atlantic Union Equipment Finance, AMORTIZING. Source: Meiborg_Debt_Schedule_202512.xlsx - Loan 77</t>
      </text>
    </comment>
    <comment ref="E71" authorId="0" shapeId="0">
      <text>
        <t>Loan: Atlantic Union Equipment Finance, AMORTIZING. Source: Meiborg_Debt_Schedule_202512.xlsx - Loan 77</t>
      </text>
    </comment>
    <comment ref="F71" authorId="0" shapeId="0">
      <text>
        <t>Loan: Atlantic Union Equipment Finance, AMORTIZING. Source: Meiborg_Debt_Schedule_202512.xlsx - Loan 77</t>
      </text>
    </comment>
    <comment ref="C72" authorId="0" shapeId="0">
      <text>
        <t>Loan: Atlantic Union Equipment Finance, AMORTIZING. Source: Meiborg_Debt_Schedule_202512.xlsx - Loan 77</t>
      </text>
    </comment>
    <comment ref="D72" authorId="0" shapeId="0">
      <text>
        <t>Loan: Atlantic Union Equipment Finance, AMORTIZING. Source: Meiborg_Debt_Schedule_202512.xlsx - Loan 77</t>
      </text>
    </comment>
    <comment ref="E72" authorId="0" shapeId="0">
      <text>
        <t>Loan: Atlantic Union Equipment Finance, AMORTIZING. Source: Meiborg_Debt_Schedule_202512.xlsx - Loan 77</t>
      </text>
    </comment>
    <comment ref="F72" authorId="0" shapeId="0">
      <text>
        <t>Loan: Atlantic Union Equipment Finance, AMORTIZING. Source: Meiborg_Debt_Schedule_202512.xlsx - Loan 77</t>
      </text>
    </comment>
    <comment ref="C73" authorId="0" shapeId="0">
      <text>
        <t>Loan: Atlantic Union Equipment Finance, AMORTIZING. Source: Meiborg_Debt_Schedule_202512.xlsx - Loan 77</t>
      </text>
    </comment>
    <comment ref="D73" authorId="0" shapeId="0">
      <text>
        <t>Loan: Atlantic Union Equipment Finance, AMORTIZING. Source: Meiborg_Debt_Schedule_202512.xlsx - Loan 77</t>
      </text>
    </comment>
    <comment ref="E73" authorId="0" shapeId="0">
      <text>
        <t>Loan: Atlantic Union Equipment Finance, AMORTIZING. Source: Meiborg_Debt_Schedule_202512.xlsx - Loan 77</t>
      </text>
    </comment>
    <comment ref="F73" authorId="0" shapeId="0">
      <text>
        <t>Loan: Atlantic Union Equipment Finance, AMORTIZING. Source: Meiborg_Debt_Schedule_202512.xlsx - Loan 77</t>
      </text>
    </comment>
    <comment ref="C74" authorId="0" shapeId="0">
      <text>
        <t>Loan: Atlantic Union Equipment Finance, AMORTIZING. Source: Meiborg_Debt_Schedule_202512.xlsx - Loan 77</t>
      </text>
    </comment>
    <comment ref="D74" authorId="0" shapeId="0">
      <text>
        <t>Loan: Atlantic Union Equipment Finance, AMORTIZING. Source: Meiborg_Debt_Schedule_202512.xlsx - Loan 77</t>
      </text>
    </comment>
    <comment ref="E74" authorId="0" shapeId="0">
      <text>
        <t>Loan: Atlantic Union Equipment Finance, AMORTIZING. Source: Meiborg_Debt_Schedule_202512.xlsx - Loan 77</t>
      </text>
    </comment>
    <comment ref="F74" authorId="0" shapeId="0">
      <text>
        <t>Loan: Atlantic Union Equipment Finance, AMORTIZING. Source: Meiborg_Debt_Schedule_202512.xlsx - Loan 77</t>
      </text>
    </comment>
    <comment ref="C75" authorId="0" shapeId="0">
      <text>
        <t>Loan: Atlantic Union Equipment Finance, AMORTIZING. Source: Meiborg_Debt_Schedule_202512.xlsx - Loan 77</t>
      </text>
    </comment>
    <comment ref="D75" authorId="0" shapeId="0">
      <text>
        <t>Loan: Atlantic Union Equipment Finance, AMORTIZING. Source: Meiborg_Debt_Schedule_202512.xlsx - Loan 77</t>
      </text>
    </comment>
    <comment ref="E75" authorId="0" shapeId="0">
      <text>
        <t>Loan: Atlantic Union Equipment Finance, AMORTIZING. Source: Meiborg_Debt_Schedule_202512.xlsx - Loan 77</t>
      </text>
    </comment>
    <comment ref="F75" authorId="0" shapeId="0">
      <text>
        <t>Loan: Atlantic Union Equipment Finance, AMORTIZING. Source: Meiborg_Debt_Schedule_202512.xlsx - Loan 77</t>
      </text>
    </comment>
    <comment ref="C76" authorId="0" shapeId="0">
      <text>
        <t>Loan: Atlantic Union Equipment Finance, AMORTIZING. Source: Meiborg_Debt_Schedule_202512.xlsx - Loan 77</t>
      </text>
    </comment>
    <comment ref="D76" authorId="0" shapeId="0">
      <text>
        <t>Loan: Atlantic Union Equipment Finance, AMORTIZING. Source: Meiborg_Debt_Schedule_202512.xlsx - Loan 77</t>
      </text>
    </comment>
    <comment ref="E76" authorId="0" shapeId="0">
      <text>
        <t>Loan: Atlantic Union Equipment Finance, AMORTIZING. Source: Meiborg_Debt_Schedule_202512.xlsx - Loan 77</t>
      </text>
    </comment>
    <comment ref="F76" authorId="0" shapeId="0">
      <text>
        <t>Loan: Atlantic Union Equipment Finance, AMORTIZING. Source: Meiborg_Debt_Schedule_202512.xlsx - Loan 77</t>
      </text>
    </comment>
    <comment ref="C77" authorId="0" shapeId="0">
      <text>
        <t>Loan: Atlantic Union Equipment Finance, AMORTIZING. Source: Meiborg_Debt_Schedule_202512.xlsx - Loan 77</t>
      </text>
    </comment>
    <comment ref="D77" authorId="0" shapeId="0">
      <text>
        <t>Loan: Atlantic Union Equipment Finance, AMORTIZING. Source: Meiborg_Debt_Schedule_202512.xlsx - Loan 77</t>
      </text>
    </comment>
    <comment ref="E77" authorId="0" shapeId="0">
      <text>
        <t>Loan: Atlantic Union Equipment Finance, AMORTIZING. Source: Meiborg_Debt_Schedule_202512.xlsx - Loan 77</t>
      </text>
    </comment>
    <comment ref="F77" authorId="0" shapeId="0">
      <text>
        <t>Loan: Atlantic Union Equipment Finance, AMORTIZING. Source: Meiborg_Debt_Schedule_202512.xlsx - Loan 77</t>
      </text>
    </comment>
    <comment ref="C78" authorId="0" shapeId="0">
      <text>
        <t>Loan: Atlantic Union Equipment Finance, AMORTIZING. Source: Meiborg_Debt_Schedule_202512.xlsx - Loan 77</t>
      </text>
    </comment>
    <comment ref="D78" authorId="0" shapeId="0">
      <text>
        <t>Loan: Atlantic Union Equipment Finance, AMORTIZING. Source: Meiborg_Debt_Schedule_202512.xlsx - Loan 77</t>
      </text>
    </comment>
    <comment ref="E78" authorId="0" shapeId="0">
      <text>
        <t>Loan: Atlantic Union Equipment Finance, AMORTIZING. Source: Meiborg_Debt_Schedule_202512.xlsx - Loan 77</t>
      </text>
    </comment>
    <comment ref="F78" authorId="0" shapeId="0">
      <text>
        <t>Loan: Atlantic Union Equipment Finance, AMORTIZING. Source: Meiborg_Debt_Schedule_202512.xlsx - Loan 77</t>
      </text>
    </comment>
    <comment ref="C79" authorId="0" shapeId="0">
      <text>
        <t>Loan: Atlantic Union Equipment Finance, AMORTIZING. Source: Meiborg_Debt_Schedule_202512.xlsx - Loan 77</t>
      </text>
    </comment>
    <comment ref="D79" authorId="0" shapeId="0">
      <text>
        <t>Loan: Atlantic Union Equipment Finance, AMORTIZING. Source: Meiborg_Debt_Schedule_202512.xlsx - Loan 77</t>
      </text>
    </comment>
    <comment ref="E79" authorId="0" shapeId="0">
      <text>
        <t>Loan: Atlantic Union Equipment Finance, AMORTIZING. Source: Meiborg_Debt_Schedule_202512.xlsx - Loan 77</t>
      </text>
    </comment>
    <comment ref="F79" authorId="0" shapeId="0">
      <text>
        <t>Loan: Atlantic Union Equipment Finance, AMORTIZING. Source: Meiborg_Debt_Schedule_202512.xlsx - Loan 77</t>
      </text>
    </comment>
    <comment ref="C80" authorId="0" shapeId="0">
      <text>
        <t>Loan: Atlantic Union Equipment Finance, AMORTIZING. Source: Meiborg_Debt_Schedule_202512.xlsx - Loan 77</t>
      </text>
    </comment>
    <comment ref="D80" authorId="0" shapeId="0">
      <text>
        <t>Loan: Atlantic Union Equipment Finance, AMORTIZING. Source: Meiborg_Debt_Schedule_202512.xlsx - Loan 77</t>
      </text>
    </comment>
    <comment ref="E80" authorId="0" shapeId="0">
      <text>
        <t>Loan: Atlantic Union Equipment Finance, AMORTIZING. Source: Meiborg_Debt_Schedule_202512.xlsx - Loan 77</t>
      </text>
    </comment>
    <comment ref="F80" authorId="0" shapeId="0">
      <text>
        <t>Loan: Atlantic Union Equipment Finance, AMORTIZING. Source: Meiborg_Debt_Schedule_202512.xlsx - Loan 77</t>
      </text>
    </comment>
    <comment ref="C81" authorId="0" shapeId="0">
      <text>
        <t>Loan: Atlantic Union Equipment Finance, AMORTIZING. Source: Meiborg_Debt_Schedule_202512.xlsx - Loan 77</t>
      </text>
    </comment>
    <comment ref="D81" authorId="0" shapeId="0">
      <text>
        <t>Loan: Atlantic Union Equipment Finance, AMORTIZING. Source: Meiborg_Debt_Schedule_202512.xlsx - Loan 77</t>
      </text>
    </comment>
    <comment ref="E81" authorId="0" shapeId="0">
      <text>
        <t>Loan: Atlantic Union Equipment Finance, AMORTIZING. Source: Meiborg_Debt_Schedule_202512.xlsx - Loan 77</t>
      </text>
    </comment>
    <comment ref="F81" authorId="0" shapeId="0">
      <text>
        <t>Loan: Atlantic Union Equipment Finance, AMORTIZING. Source: Meiborg_Debt_Schedule_202512.xlsx - Loan 77</t>
      </text>
    </comment>
    <comment ref="C82" authorId="0" shapeId="0">
      <text>
        <t>Loan: Atlantic Union Equipment Finance, AMORTIZING. Source: Meiborg_Debt_Schedule_202512.xlsx - Loan 77</t>
      </text>
    </comment>
    <comment ref="D82" authorId="0" shapeId="0">
      <text>
        <t>Loan: Atlantic Union Equipment Finance, AMORTIZING. Source: Meiborg_Debt_Schedule_202512.xlsx - Loan 77</t>
      </text>
    </comment>
    <comment ref="E82" authorId="0" shapeId="0">
      <text>
        <t>Loan: Atlantic Union Equipment Finance, AMORTIZING. Source: Meiborg_Debt_Schedule_202512.xlsx - Loan 77</t>
      </text>
    </comment>
    <comment ref="F82" authorId="0" shapeId="0">
      <text>
        <t>Loan: Atlantic Union Equipment Finance, AMORTIZING. Source: Meiborg_Debt_Schedule_202512.xlsx - Loan 77</t>
      </text>
    </comment>
    <comment ref="C83" authorId="0" shapeId="0">
      <text>
        <t>Loan: Atlantic Union Equipment Finance, AMORTIZING. Source: Meiborg_Debt_Schedule_202512.xlsx - Loan 77</t>
      </text>
    </comment>
    <comment ref="D83" authorId="0" shapeId="0">
      <text>
        <t>Loan: Atlantic Union Equipment Finance, AMORTIZING. Source: Meiborg_Debt_Schedule_202512.xlsx - Loan 77</t>
      </text>
    </comment>
    <comment ref="E83" authorId="0" shapeId="0">
      <text>
        <t>Loan: Atlantic Union Equipment Finance, AMORTIZING. Source: Meiborg_Debt_Schedule_202512.xlsx - Loan 77</t>
      </text>
    </comment>
    <comment ref="F83" authorId="0" shapeId="0">
      <text>
        <t>Loan: Atlantic Union Equipment Finance, AMORTIZING. Source: Meiborg_Debt_Schedule_202512.xlsx - Loan 77</t>
      </text>
    </comment>
    <comment ref="C84" authorId="0" shapeId="0">
      <text>
        <t>Loan: Atlantic Union Equipment Finance, AMORTIZING. Source: Meiborg_Debt_Schedule_202512.xlsx - Loan 77</t>
      </text>
    </comment>
    <comment ref="D84" authorId="0" shapeId="0">
      <text>
        <t>Loan: Atlantic Union Equipment Finance, AMORTIZING. Source: Meiborg_Debt_Schedule_202512.xlsx - Loan 77</t>
      </text>
    </comment>
    <comment ref="E84" authorId="0" shapeId="0">
      <text>
        <t>Loan: Atlantic Union Equipment Finance, AMORTIZING. Source: Meiborg_Debt_Schedule_202512.xlsx - Loan 77</t>
      </text>
    </comment>
    <comment ref="F84" authorId="0" shapeId="0">
      <text>
        <t>Loan: Atlantic Union Equipment Finance, AMORTIZING. Source: Meiborg_Debt_Schedule_202512.xlsx - Loan 77</t>
      </text>
    </comment>
    <comment ref="C85" authorId="0" shapeId="0">
      <text>
        <t>Loan: Atlantic Union Equipment Finance, AMORTIZING. Source: Meiborg_Debt_Schedule_202512.xlsx - Loan 77</t>
      </text>
    </comment>
    <comment ref="D85" authorId="0" shapeId="0">
      <text>
        <t>Loan: Atlantic Union Equipment Finance, AMORTIZING. Source: Meiborg_Debt_Schedule_202512.xlsx - Loan 77</t>
      </text>
    </comment>
    <comment ref="E85" authorId="0" shapeId="0">
      <text>
        <t>Loan: Atlantic Union Equipment Finance, AMORTIZING. Source: Meiborg_Debt_Schedule_202512.xlsx - Loan 77</t>
      </text>
    </comment>
    <comment ref="F85" authorId="0" shapeId="0">
      <text>
        <t>Loan: Atlantic Union Equipment Finance, AMORTIZING. Source: Meiborg_Debt_Schedule_202512.xlsx - Loan 77</t>
      </text>
    </comment>
    <comment ref="C86" authorId="0" shapeId="0">
      <text>
        <t>Loan: Atlantic Union Equipment Finance, AMORTIZING. Source: Meiborg_Debt_Schedule_202512.xlsx - Loan 77</t>
      </text>
    </comment>
    <comment ref="D86" authorId="0" shapeId="0">
      <text>
        <t>Loan: Atlantic Union Equipment Finance, AMORTIZING. Source: Meiborg_Debt_Schedule_202512.xlsx - Loan 77</t>
      </text>
    </comment>
    <comment ref="E86" authorId="0" shapeId="0">
      <text>
        <t>Loan: Atlantic Union Equipment Finance, AMORTIZING. Source: Meiborg_Debt_Schedule_202512.xlsx - Loan 77</t>
      </text>
    </comment>
    <comment ref="F86" authorId="0" shapeId="0">
      <text>
        <t>Loan: Atlantic Union Equipment Finance, AMORTIZING. Source: Meiborg_Debt_Schedule_202512.xlsx - Loan 77</t>
      </text>
    </comment>
    <comment ref="C87" authorId="0" shapeId="0">
      <text>
        <t>Loan: Atlantic Union Equipment Finance, AMORTIZING. Source: Meiborg_Debt_Schedule_202512.xlsx - Loan 77</t>
      </text>
    </comment>
    <comment ref="D87" authorId="0" shapeId="0">
      <text>
        <t>Loan: Atlantic Union Equipment Finance, AMORTIZING. Source: Meiborg_Debt_Schedule_202512.xlsx - Loan 77</t>
      </text>
    </comment>
    <comment ref="E87" authorId="0" shapeId="0">
      <text>
        <t>Loan: Atlantic Union Equipment Finance, AMORTIZING. Source: Meiborg_Debt_Schedule_202512.xlsx - Loan 77</t>
      </text>
    </comment>
    <comment ref="F87" authorId="0" shapeId="0">
      <text>
        <t>Loan: Atlantic Union Equipment Finance, AMORTIZING. Source: Meiborg_Debt_Schedule_202512.xlsx - Loan 77</t>
      </text>
    </comment>
    <comment ref="C88" authorId="0" shapeId="0">
      <text>
        <t>Loan: Atlantic Union Equipment Finance, AMORTIZING. Source: Meiborg_Debt_Schedule_202512.xlsx - Loan 77</t>
      </text>
    </comment>
    <comment ref="D88" authorId="0" shapeId="0">
      <text>
        <t>Loan: Atlantic Union Equipment Finance, AMORTIZING. Source: Meiborg_Debt_Schedule_202512.xlsx - Loan 77</t>
      </text>
    </comment>
    <comment ref="E88" authorId="0" shapeId="0">
      <text>
        <t>Loan: Atlantic Union Equipment Finance, AMORTIZING. Source: Meiborg_Debt_Schedule_202512.xlsx - Loan 77</t>
      </text>
    </comment>
    <comment ref="F88" authorId="0" shapeId="0">
      <text>
        <t>Loan: Atlantic Union Equipment Finance, AMORTIZING. Source: Meiborg_Debt_Schedule_202512.xlsx - Loan 77</t>
      </text>
    </comment>
    <comment ref="C89" authorId="0" shapeId="0">
      <text>
        <t>Loan: Atlantic Union Equipment Finance, AMORTIZING. Source: Meiborg_Debt_Schedule_202512.xlsx - Loan 77</t>
      </text>
    </comment>
    <comment ref="D89" authorId="0" shapeId="0">
      <text>
        <t>Loan: Atlantic Union Equipment Finance, AMORTIZING. Source: Meiborg_Debt_Schedule_202512.xlsx - Loan 77</t>
      </text>
    </comment>
    <comment ref="E89" authorId="0" shapeId="0">
      <text>
        <t>Loan: Atlantic Union Equipment Finance, AMORTIZING. Source: Meiborg_Debt_Schedule_202512.xlsx - Loan 77</t>
      </text>
    </comment>
    <comment ref="F89" authorId="0" shapeId="0">
      <text>
        <t>Loan: Atlantic Union Equipment Finance, AMORTIZING. Source: Meiborg_Debt_Schedule_202512.xlsx - Loan 77</t>
      </text>
    </comment>
    <comment ref="C90" authorId="0" shapeId="0">
      <text>
        <t>Loan: Atlantic Union Equipment Finance, AMORTIZING. Source: Meiborg_Debt_Schedule_202512.xlsx - Loan 77</t>
      </text>
    </comment>
    <comment ref="D90" authorId="0" shapeId="0">
      <text>
        <t>Loan: Atlantic Union Equipment Finance, AMORTIZING. Source: Meiborg_Debt_Schedule_202512.xlsx - Loan 77</t>
      </text>
    </comment>
    <comment ref="E90" authorId="0" shapeId="0">
      <text>
        <t>Loan: Atlantic Union Equipment Finance, AMORTIZING. Source: Meiborg_Debt_Schedule_202512.xlsx - Loan 77</t>
      </text>
    </comment>
    <comment ref="F90" authorId="0" shapeId="0">
      <text>
        <t>Loan: Atlantic Union Equipment Finance, AMORTIZING. Source: Meiborg_Debt_Schedule_202512.xlsx - Loan 77</t>
      </text>
    </comment>
    <comment ref="C91" authorId="0" shapeId="0">
      <text>
        <t>Loan: Atlantic Union Equipment Finance, AMORTIZING. Source: Meiborg_Debt_Schedule_202512.xlsx - Loan 77</t>
      </text>
    </comment>
    <comment ref="D91" authorId="0" shapeId="0">
      <text>
        <t>Loan: Atlantic Union Equipment Finance, AMORTIZING. Source: Meiborg_Debt_Schedule_202512.xlsx - Loan 77</t>
      </text>
    </comment>
    <comment ref="E91" authorId="0" shapeId="0">
      <text>
        <t>Loan: Atlantic Union Equipment Finance, AMORTIZING. Source: Meiborg_Debt_Schedule_202512.xlsx - Loan 77</t>
      </text>
    </comment>
    <comment ref="F91" authorId="0" shapeId="0">
      <text>
        <t>Loan: Atlantic Union Equipment Finance, AMORTIZING. Source: Meiborg_Debt_Schedule_202512.xlsx - Loan 77</t>
      </text>
    </comment>
    <comment ref="C92" authorId="0" shapeId="0">
      <text>
        <t>Loan: Atlantic Union Equipment Finance, AMORTIZING. Source: Meiborg_Debt_Schedule_202512.xlsx - Loan 77</t>
      </text>
    </comment>
    <comment ref="D92" authorId="0" shapeId="0">
      <text>
        <t>Loan: Atlantic Union Equipment Finance, AMORTIZING. Source: Meiborg_Debt_Schedule_202512.xlsx - Loan 77</t>
      </text>
    </comment>
    <comment ref="E92" authorId="0" shapeId="0">
      <text>
        <t>Loan: Atlantic Union Equipment Finance, AMORTIZING. Source: Meiborg_Debt_Schedule_202512.xlsx - Loan 77</t>
      </text>
    </comment>
    <comment ref="F92" authorId="0" shapeId="0">
      <text>
        <t>Loan: Atlantic Union Equipment Finance, AMORTIZING. Source: Meiborg_Debt_Schedule_202512.xlsx - Loan 77</t>
      </text>
    </comment>
    <comment ref="C93" authorId="0" shapeId="0">
      <text>
        <t>Loan: Atlantic Union Equipment Finance, AMORTIZING. Source: Meiborg_Debt_Schedule_202512.xlsx - Loan 77</t>
      </text>
    </comment>
    <comment ref="D93" authorId="0" shapeId="0">
      <text>
        <t>Loan: Atlantic Union Equipment Finance, AMORTIZING. Source: Meiborg_Debt_Schedule_202512.xlsx - Loan 77</t>
      </text>
    </comment>
    <comment ref="E93" authorId="0" shapeId="0">
      <text>
        <t>Loan: Atlantic Union Equipment Finance, AMORTIZING. Source: Meiborg_Debt_Schedule_202512.xlsx - Loan 77</t>
      </text>
    </comment>
    <comment ref="F93" authorId="0" shapeId="0">
      <text>
        <t>Loan: Atlantic Union Equipment Finance, AMORTIZING. Source: Meiborg_Debt_Schedule_202512.xlsx - Loan 77</t>
      </text>
    </comment>
    <comment ref="C94" authorId="0" shapeId="0">
      <text>
        <t>Loan: Atlantic Union Equipment Finance, AMORTIZING. Source: Meiborg_Debt_Schedule_202512.xlsx - Loan 77</t>
      </text>
    </comment>
    <comment ref="D94" authorId="0" shapeId="0">
      <text>
        <t>Loan: Atlantic Union Equipment Finance, AMORTIZING. Source: Meiborg_Debt_Schedule_202512.xlsx - Loan 77</t>
      </text>
    </comment>
    <comment ref="E94" authorId="0" shapeId="0">
      <text>
        <t>Loan: Atlantic Union Equipment Finance, AMORTIZING. Source: Meiborg_Debt_Schedule_202512.xlsx - Loan 77</t>
      </text>
    </comment>
    <comment ref="F94" authorId="0" shapeId="0">
      <text>
        <t>Loan: Atlantic Union Equipment Finance, AMORTIZING. Source: Meiborg_Debt_Schedule_202512.xlsx - Loan 77</t>
      </text>
    </comment>
    <comment ref="C95" authorId="0" shapeId="0">
      <text>
        <t>Loan: Atlantic Union Equipment Finance, AMORTIZING. Source: Meiborg_Debt_Schedule_202512.xlsx - Loan 77</t>
      </text>
    </comment>
    <comment ref="D95" authorId="0" shapeId="0">
      <text>
        <t>Loan: Atlantic Union Equipment Finance, AMORTIZING. Source: Meiborg_Debt_Schedule_202512.xlsx - Loan 77</t>
      </text>
    </comment>
    <comment ref="E95" authorId="0" shapeId="0">
      <text>
        <t>Loan: Atlantic Union Equipment Finance, AMORTIZING. Source: Meiborg_Debt_Schedule_202512.xlsx - Loan 77</t>
      </text>
    </comment>
    <comment ref="F95" authorId="0" shapeId="0">
      <text>
        <t>Loan: Atlantic Union Equipment Finance, AMORTIZING. Source: Meiborg_Debt_Schedule_202512.xlsx - Loan 77</t>
      </text>
    </comment>
    <comment ref="C96" authorId="0" shapeId="0">
      <text>
        <t>Loan: Atlantic Union Equipment Finance, AMORTIZING. Source: Meiborg_Debt_Schedule_202512.xlsx - Loan 77</t>
      </text>
    </comment>
    <comment ref="D96" authorId="0" shapeId="0">
      <text>
        <t>Loan: Atlantic Union Equipment Finance, AMORTIZING. Source: Meiborg_Debt_Schedule_202512.xlsx - Loan 77</t>
      </text>
    </comment>
    <comment ref="E96" authorId="0" shapeId="0">
      <text>
        <t>Loan: Atlantic Union Equipment Finance, AMORTIZING. Source: Meiborg_Debt_Schedule_202512.xlsx - Loan 77</t>
      </text>
    </comment>
    <comment ref="F96" authorId="0" shapeId="0">
      <text>
        <t>Loan: Atlantic Union Equipment Finance, AMORTIZING. Source: Meiborg_Debt_Schedule_202512.xlsx - Loan 77</t>
      </text>
    </comment>
    <comment ref="C97" authorId="0" shapeId="0">
      <text>
        <t>Loan: Atlantic Union Equipment Finance, AMORTIZING. Source: Meiborg_Debt_Schedule_202512.xlsx - Loan 77</t>
      </text>
    </comment>
    <comment ref="D97" authorId="0" shapeId="0">
      <text>
        <t>Loan: Atlantic Union Equipment Finance, AMORTIZING. Source: Meiborg_Debt_Schedule_202512.xlsx - Loan 77</t>
      </text>
    </comment>
    <comment ref="E97" authorId="0" shapeId="0">
      <text>
        <t>Loan: Atlantic Union Equipment Finance, AMORTIZING. Source: Meiborg_Debt_Schedule_202512.xlsx - Loan 77</t>
      </text>
    </comment>
    <comment ref="F97" authorId="0" shapeId="0">
      <text>
        <t>Loan: Atlantic Union Equipment Finance, AMORTIZING. Source: Meiborg_Debt_Schedule_202512.xlsx - Loan 77</t>
      </text>
    </comment>
    <comment ref="C98" authorId="0" shapeId="0">
      <text>
        <t>Loan: Atlantic Union Equipment Finance, AMORTIZING. Source: Meiborg_Debt_Schedule_202512.xlsx - Loan 77</t>
      </text>
    </comment>
    <comment ref="D98" authorId="0" shapeId="0">
      <text>
        <t>Loan: Atlantic Union Equipment Finance, AMORTIZING. Source: Meiborg_Debt_Schedule_202512.xlsx - Loan 77</t>
      </text>
    </comment>
    <comment ref="E98" authorId="0" shapeId="0">
      <text>
        <t>Loan: Atlantic Union Equipment Finance, AMORTIZING. Source: Meiborg_Debt_Schedule_202512.xlsx - Loan 77</t>
      </text>
    </comment>
    <comment ref="F98" authorId="0" shapeId="0">
      <text>
        <t>Loan: Atlantic Union Equipment Finance, AMORTIZING. Source: Meiborg_Debt_Schedule_202512.xlsx - Loan 77</t>
      </text>
    </comment>
    <comment ref="C99" authorId="0" shapeId="0">
      <text>
        <t>Loan: Atlantic Union Equipment Finance, AMORTIZING. Source: Meiborg_Debt_Schedule_202512.xlsx - Loan 77</t>
      </text>
    </comment>
    <comment ref="D99" authorId="0" shapeId="0">
      <text>
        <t>Loan: Atlantic Union Equipment Finance, AMORTIZING. Source: Meiborg_Debt_Schedule_202512.xlsx - Loan 77</t>
      </text>
    </comment>
    <comment ref="E99" authorId="0" shapeId="0">
      <text>
        <t>Loan: Atlantic Union Equipment Finance, AMORTIZING. Source: Meiborg_Debt_Schedule_202512.xlsx - Loan 77</t>
      </text>
    </comment>
    <comment ref="F99" authorId="0" shapeId="0">
      <text>
        <t>Loan: Atlantic Union Equipment Finance, AMORTIZING. Source: Meiborg_Debt_Schedule_202512.xlsx - Loan 77</t>
      </text>
    </comment>
    <comment ref="C100" authorId="0" shapeId="0">
      <text>
        <t>Loan: Atlantic Union Equipment Finance, AMORTIZING. Source: Meiborg_Debt_Schedule_202512.xlsx - Loan 77</t>
      </text>
    </comment>
    <comment ref="D100" authorId="0" shapeId="0">
      <text>
        <t>Loan: Atlantic Union Equipment Finance, AMORTIZING. Source: Meiborg_Debt_Schedule_202512.xlsx - Loan 77</t>
      </text>
    </comment>
    <comment ref="E100" authorId="0" shapeId="0">
      <text>
        <t>Loan: Atlantic Union Equipment Finance, AMORTIZING. Source: Meiborg_Debt_Schedule_202512.xlsx - Loan 77</t>
      </text>
    </comment>
    <comment ref="F100" authorId="0" shapeId="0">
      <text>
        <t>Loan: Atlantic Union Equipment Finance, AMORTIZING. Source: Meiborg_Debt_Schedule_202512.xlsx - Loan 77</t>
      </text>
    </comment>
    <comment ref="C101" authorId="0" shapeId="0">
      <text>
        <t>Loan: Atlantic Union Equipment Finance, AMORTIZING. Source: Meiborg_Debt_Schedule_202512.xlsx - Loan 77</t>
      </text>
    </comment>
    <comment ref="D101" authorId="0" shapeId="0">
      <text>
        <t>Loan: Atlantic Union Equipment Finance, AMORTIZING. Source: Meiborg_Debt_Schedule_202512.xlsx - Loan 77</t>
      </text>
    </comment>
    <comment ref="E101" authorId="0" shapeId="0">
      <text>
        <t>Loan: Atlantic Union Equipment Finance, AMORTIZING. Source: Meiborg_Debt_Schedule_202512.xlsx - Loan 77</t>
      </text>
    </comment>
    <comment ref="F101" authorId="0" shapeId="0">
      <text>
        <t>Loan: Atlantic Union Equipment Finance, AMORTIZING. Source: Meiborg_Debt_Schedule_202512.xlsx - Loan 77</t>
      </text>
    </comment>
    <comment ref="C102" authorId="0" shapeId="0">
      <text>
        <t>Loan: Atlantic Union Equipment Finance, AMORTIZING. Source: Meiborg_Debt_Schedule_202512.xlsx - Loan 77</t>
      </text>
    </comment>
    <comment ref="D102" authorId="0" shapeId="0">
      <text>
        <t>Loan: Atlantic Union Equipment Finance, AMORTIZING. Source: Meiborg_Debt_Schedule_202512.xlsx - Loan 77</t>
      </text>
    </comment>
    <comment ref="E102" authorId="0" shapeId="0">
      <text>
        <t>Loan: Atlantic Union Equipment Finance, AMORTIZING. Source: Meiborg_Debt_Schedule_202512.xlsx - Loan 77</t>
      </text>
    </comment>
    <comment ref="F102" authorId="0" shapeId="0">
      <text>
        <t>Loan: Atlantic Union Equipment Finance, AMORTIZING. Source: Meiborg_Debt_Schedule_202512.xlsx - Loan 77</t>
      </text>
    </comment>
    <comment ref="C103" authorId="0" shapeId="0">
      <text>
        <t>Loan: Atlantic Union Equipment Finance, AMORTIZING. Source: Meiborg_Debt_Schedule_202512.xlsx - Loan 77</t>
      </text>
    </comment>
    <comment ref="D103" authorId="0" shapeId="0">
      <text>
        <t>Loan: Atlantic Union Equipment Finance, AMORTIZING. Source: Meiborg_Debt_Schedule_202512.xlsx - Loan 77</t>
      </text>
    </comment>
    <comment ref="E103" authorId="0" shapeId="0">
      <text>
        <t>Loan: Atlantic Union Equipment Finance, AMORTIZING. Source: Meiborg_Debt_Schedule_202512.xlsx - Loan 77</t>
      </text>
    </comment>
    <comment ref="F103" authorId="0" shapeId="0">
      <text>
        <t>Loan: Atlantic Union Equipment Finance, AMORTIZING. Source: Meiborg_Debt_Schedule_202512.xlsx - Loan 77</t>
      </text>
    </comment>
    <comment ref="B107" authorId="0" shapeId="0">
      <text>
        <t>Sum of rows 20-25: Annual opening balance</t>
      </text>
    </comment>
    <comment ref="C107" authorId="0" shapeId="0">
      <text>
        <t>Sum of rows 20-25: Annual interest expense</t>
      </text>
    </comment>
    <comment ref="D107" authorId="0" shapeId="0">
      <text>
        <t>Sum of rows 20-25: Annual principal repaid</t>
      </text>
    </comment>
    <comment ref="E107" authorId="0" shapeId="0">
      <text>
        <t>Sum of rows 20-25: Year-end closing balance</t>
      </text>
    </comment>
    <comment ref="B108" authorId="0" shapeId="0">
      <text>
        <t>Sum of rows 26-37: Annual opening balance</t>
      </text>
    </comment>
    <comment ref="C108" authorId="0" shapeId="0">
      <text>
        <t>Sum of rows 26-37: Annual interest expense</t>
      </text>
    </comment>
    <comment ref="D108" authorId="0" shapeId="0">
      <text>
        <t>Sum of rows 26-37: Annual principal repaid</t>
      </text>
    </comment>
    <comment ref="E108" authorId="0" shapeId="0">
      <text>
        <t>Sum of rows 26-37: Year-end closing balance</t>
      </text>
    </comment>
    <comment ref="B109" authorId="0" shapeId="0">
      <text>
        <t>Sum of rows 38-49: Annual opening balance</t>
      </text>
    </comment>
    <comment ref="C109" authorId="0" shapeId="0">
      <text>
        <t>Sum of rows 38-49: Annual interest expense</t>
      </text>
    </comment>
    <comment ref="D109" authorId="0" shapeId="0">
      <text>
        <t>Sum of rows 38-49: Annual principal repaid</t>
      </text>
    </comment>
    <comment ref="E109" authorId="0" shapeId="0">
      <text>
        <t>Sum of rows 38-49: Year-end closing balance</t>
      </text>
    </comment>
    <comment ref="B110" authorId="0" shapeId="0">
      <text>
        <t>Sum of rows 50-61: Annual opening balance</t>
      </text>
    </comment>
    <comment ref="C110" authorId="0" shapeId="0">
      <text>
        <t>Sum of rows 50-61: Annual interest expense</t>
      </text>
    </comment>
    <comment ref="D110" authorId="0" shapeId="0">
      <text>
        <t>Sum of rows 50-61: Annual principal repaid</t>
      </text>
    </comment>
    <comment ref="E110" authorId="0" shapeId="0">
      <text>
        <t>Sum of rows 50-61: Year-end closing balance</t>
      </text>
    </comment>
    <comment ref="B111" authorId="0" shapeId="0">
      <text>
        <t>Sum of rows 62-73: Annual opening balance</t>
      </text>
    </comment>
    <comment ref="C111" authorId="0" shapeId="0">
      <text>
        <t>Sum of rows 62-73: Annual interest expense</t>
      </text>
    </comment>
    <comment ref="D111" authorId="0" shapeId="0">
      <text>
        <t>Sum of rows 62-73: Annual principal repaid</t>
      </text>
    </comment>
    <comment ref="E111" authorId="0" shapeId="0">
      <text>
        <t>Sum of rows 62-73: Year-end closing balance</t>
      </text>
    </comment>
    <comment ref="B112" authorId="0" shapeId="0">
      <text>
        <t>Sum of rows 74-85: Annual opening balance</t>
      </text>
    </comment>
    <comment ref="C112" authorId="0" shapeId="0">
      <text>
        <t>Sum of rows 74-85: Annual interest expense</t>
      </text>
    </comment>
    <comment ref="D112" authorId="0" shapeId="0">
      <text>
        <t>Sum of rows 74-85: Annual principal repaid</t>
      </text>
    </comment>
    <comment ref="E112" authorId="0" shapeId="0">
      <text>
        <t>Sum of rows 74-85: Year-end closing balance</t>
      </text>
    </comment>
    <comment ref="B113" authorId="0" shapeId="0">
      <text>
        <t>Sum of rows 86-97: Annual opening balance</t>
      </text>
    </comment>
    <comment ref="C113" authorId="0" shapeId="0">
      <text>
        <t>Sum of rows 86-97: Annual interest expense</t>
      </text>
    </comment>
    <comment ref="D113" authorId="0" shapeId="0">
      <text>
        <t>Sum of rows 86-97: Annual principal repaid</t>
      </text>
    </comment>
    <comment ref="E113" authorId="0" shapeId="0">
      <text>
        <t>Sum of rows 86-97: Year-end closing balance</t>
      </text>
    </comment>
    <comment ref="B114" authorId="0" shapeId="0">
      <text>
        <t>Sum of rows 98-103: Annual opening balance</t>
      </text>
    </comment>
    <comment ref="C114" authorId="0" shapeId="0">
      <text>
        <t>Sum of rows 98-103: Annual interest expense</t>
      </text>
    </comment>
    <comment ref="D114" authorId="0" shapeId="0">
      <text>
        <t>Sum of rows 98-103: Annual principal repaid</t>
      </text>
    </comment>
    <comment ref="E114" authorId="0" shapeId="0">
      <text>
        <t>Sum of rows 98-103: Year-end closing balance</t>
      </text>
    </comment>
    <comment ref="B116" authorId="0" shapeId="0">
      <text>
        <t>Links to: header block row 7 - Balance as of 12/31/2025</t>
      </text>
    </comment>
  </commentList>
</comments>
</file>

<file path=xl/comments/comment68.xml><?xml version="1.0" encoding="utf-8"?>
<comments xmlns="http://schemas.openxmlformats.org/spreadsheetml/2006/main">
  <authors>
    <author>Model Builder</author>
  </authors>
  <commentList>
    <comment ref="B2" authorId="0" shapeId="0">
      <text>
        <t>Source: Meiborg_Debt_Schedule_202512.xlsx - Loan 78
Extracted: 2026-05-14</t>
      </text>
    </comment>
    <comment ref="B6" authorId="0" shapeId="0">
      <text>
        <t>Loan: Balboa Capital, AMORTIZING. Source: Meiborg_Debt_Schedule_202512.xlsx - Loan 78</t>
      </text>
    </comment>
    <comment ref="B7" authorId="0" shapeId="0">
      <text>
        <t>Current balance as of 12/31/2025. Source: Meiborg_Debt_Schedule_202512.xlsx - Loan 78</t>
      </text>
    </comment>
    <comment ref="B8" authorId="0" shapeId="0">
      <text>
        <t>Annual interest rate. Source: Meiborg_Debt_Schedule_202512.xlsx - Loan 78</t>
      </text>
    </comment>
    <comment ref="B9" authorId="0" shapeId="0">
      <text>
        <t>Fixed monthly payment. Source: Meiborg_Debt_Schedule_202512.xlsx - Loan 78</t>
      </text>
    </comment>
    <comment ref="C20" authorId="0" shapeId="0">
      <text>
        <t>Loan: Balboa Capital, AMORTIZING. Source: Meiborg_Debt_Schedule_202512.xlsx - Loan 78</t>
      </text>
    </comment>
    <comment ref="D20" authorId="0" shapeId="0">
      <text>
        <t>Loan: Balboa Capital, AMORTIZING. Source: Meiborg_Debt_Schedule_202512.xlsx - Loan 78</t>
      </text>
    </comment>
    <comment ref="E20" authorId="0" shapeId="0">
      <text>
        <t>Loan: Balboa Capital, AMORTIZING. Source: Meiborg_Debt_Schedule_202512.xlsx - Loan 78</t>
      </text>
    </comment>
    <comment ref="F20" authorId="0" shapeId="0">
      <text>
        <t>Loan: Balboa Capital, AMORTIZING. Source: Meiborg_Debt_Schedule_202512.xlsx - Loan 78</t>
      </text>
    </comment>
    <comment ref="C21" authorId="0" shapeId="0">
      <text>
        <t>Loan: Balboa Capital, AMORTIZING. Source: Meiborg_Debt_Schedule_202512.xlsx - Loan 78</t>
      </text>
    </comment>
    <comment ref="D21" authorId="0" shapeId="0">
      <text>
        <t>Loan: Balboa Capital, AMORTIZING. Source: Meiborg_Debt_Schedule_202512.xlsx - Loan 78</t>
      </text>
    </comment>
    <comment ref="E21" authorId="0" shapeId="0">
      <text>
        <t>Loan: Balboa Capital, AMORTIZING. Source: Meiborg_Debt_Schedule_202512.xlsx - Loan 78</t>
      </text>
    </comment>
    <comment ref="F21" authorId="0" shapeId="0">
      <text>
        <t>Loan: Balboa Capital, AMORTIZING. Source: Meiborg_Debt_Schedule_202512.xlsx - Loan 78</t>
      </text>
    </comment>
    <comment ref="C22" authorId="0" shapeId="0">
      <text>
        <t>Loan: Balboa Capital, AMORTIZING. Source: Meiborg_Debt_Schedule_202512.xlsx - Loan 78</t>
      </text>
    </comment>
    <comment ref="D22" authorId="0" shapeId="0">
      <text>
        <t>Loan: Balboa Capital, AMORTIZING. Source: Meiborg_Debt_Schedule_202512.xlsx - Loan 78</t>
      </text>
    </comment>
    <comment ref="E22" authorId="0" shapeId="0">
      <text>
        <t>Loan: Balboa Capital, AMORTIZING. Source: Meiborg_Debt_Schedule_202512.xlsx - Loan 78</t>
      </text>
    </comment>
    <comment ref="F22" authorId="0" shapeId="0">
      <text>
        <t>Loan: Balboa Capital, AMORTIZING. Source: Meiborg_Debt_Schedule_202512.xlsx - Loan 78</t>
      </text>
    </comment>
    <comment ref="C23" authorId="0" shapeId="0">
      <text>
        <t>Loan: Balboa Capital, AMORTIZING. Source: Meiborg_Debt_Schedule_202512.xlsx - Loan 78</t>
      </text>
    </comment>
    <comment ref="D23" authorId="0" shapeId="0">
      <text>
        <t>Loan: Balboa Capital, AMORTIZING. Source: Meiborg_Debt_Schedule_202512.xlsx - Loan 78</t>
      </text>
    </comment>
    <comment ref="E23" authorId="0" shapeId="0">
      <text>
        <t>Loan: Balboa Capital, AMORTIZING. Source: Meiborg_Debt_Schedule_202512.xlsx - Loan 78</t>
      </text>
    </comment>
    <comment ref="F23" authorId="0" shapeId="0">
      <text>
        <t>Loan: Balboa Capital, AMORTIZING. Source: Meiborg_Debt_Schedule_202512.xlsx - Loan 78</t>
      </text>
    </comment>
    <comment ref="C24" authorId="0" shapeId="0">
      <text>
        <t>Loan: Balboa Capital, AMORTIZING. Source: Meiborg_Debt_Schedule_202512.xlsx - Loan 78</t>
      </text>
    </comment>
    <comment ref="D24" authorId="0" shapeId="0">
      <text>
        <t>Loan: Balboa Capital, AMORTIZING. Source: Meiborg_Debt_Schedule_202512.xlsx - Loan 78</t>
      </text>
    </comment>
    <comment ref="E24" authorId="0" shapeId="0">
      <text>
        <t>Loan: Balboa Capital, AMORTIZING. Source: Meiborg_Debt_Schedule_202512.xlsx - Loan 78</t>
      </text>
    </comment>
    <comment ref="F24" authorId="0" shapeId="0">
      <text>
        <t>Loan: Balboa Capital, AMORTIZING. Source: Meiborg_Debt_Schedule_202512.xlsx - Loan 78</t>
      </text>
    </comment>
    <comment ref="C25" authorId="0" shapeId="0">
      <text>
        <t>Loan: Balboa Capital, AMORTIZING. Source: Meiborg_Debt_Schedule_202512.xlsx - Loan 78</t>
      </text>
    </comment>
    <comment ref="D25" authorId="0" shapeId="0">
      <text>
        <t>Loan: Balboa Capital, AMORTIZING. Source: Meiborg_Debt_Schedule_202512.xlsx - Loan 78</t>
      </text>
    </comment>
    <comment ref="E25" authorId="0" shapeId="0">
      <text>
        <t>Loan: Balboa Capital, AMORTIZING. Source: Meiborg_Debt_Schedule_202512.xlsx - Loan 78</t>
      </text>
    </comment>
    <comment ref="F25" authorId="0" shapeId="0">
      <text>
        <t>Loan: Balboa Capital, AMORTIZING. Source: Meiborg_Debt_Schedule_202512.xlsx - Loan 78</t>
      </text>
    </comment>
    <comment ref="C26" authorId="0" shapeId="0">
      <text>
        <t>Loan: Balboa Capital, AMORTIZING. Source: Meiborg_Debt_Schedule_202512.xlsx - Loan 78</t>
      </text>
    </comment>
    <comment ref="D26" authorId="0" shapeId="0">
      <text>
        <t>Loan: Balboa Capital, AMORTIZING. Source: Meiborg_Debt_Schedule_202512.xlsx - Loan 78</t>
      </text>
    </comment>
    <comment ref="E26" authorId="0" shapeId="0">
      <text>
        <t>Loan: Balboa Capital, AMORTIZING. Source: Meiborg_Debt_Schedule_202512.xlsx - Loan 78</t>
      </text>
    </comment>
    <comment ref="F26" authorId="0" shapeId="0">
      <text>
        <t>Loan: Balboa Capital, AMORTIZING. Source: Meiborg_Debt_Schedule_202512.xlsx - Loan 78</t>
      </text>
    </comment>
    <comment ref="C27" authorId="0" shapeId="0">
      <text>
        <t>Loan: Balboa Capital, AMORTIZING. Source: Meiborg_Debt_Schedule_202512.xlsx - Loan 78</t>
      </text>
    </comment>
    <comment ref="D27" authorId="0" shapeId="0">
      <text>
        <t>Loan: Balboa Capital, AMORTIZING. Source: Meiborg_Debt_Schedule_202512.xlsx - Loan 78</t>
      </text>
    </comment>
    <comment ref="E27" authorId="0" shapeId="0">
      <text>
        <t>Loan: Balboa Capital, AMORTIZING. Source: Meiborg_Debt_Schedule_202512.xlsx - Loan 78</t>
      </text>
    </comment>
    <comment ref="F27" authorId="0" shapeId="0">
      <text>
        <t>Loan: Balboa Capital, AMORTIZING. Source: Meiborg_Debt_Schedule_202512.xlsx - Loan 78</t>
      </text>
    </comment>
    <comment ref="C28" authorId="0" shapeId="0">
      <text>
        <t>Loan: Balboa Capital, AMORTIZING. Source: Meiborg_Debt_Schedule_202512.xlsx - Loan 78</t>
      </text>
    </comment>
    <comment ref="D28" authorId="0" shapeId="0">
      <text>
        <t>Loan: Balboa Capital, AMORTIZING. Source: Meiborg_Debt_Schedule_202512.xlsx - Loan 78</t>
      </text>
    </comment>
    <comment ref="E28" authorId="0" shapeId="0">
      <text>
        <t>Loan: Balboa Capital, AMORTIZING. Source: Meiborg_Debt_Schedule_202512.xlsx - Loan 78</t>
      </text>
    </comment>
    <comment ref="F28" authorId="0" shapeId="0">
      <text>
        <t>Loan: Balboa Capital, AMORTIZING. Source: Meiborg_Debt_Schedule_202512.xlsx - Loan 78</t>
      </text>
    </comment>
    <comment ref="C29" authorId="0" shapeId="0">
      <text>
        <t>Loan: Balboa Capital, AMORTIZING. Source: Meiborg_Debt_Schedule_202512.xlsx - Loan 78</t>
      </text>
    </comment>
    <comment ref="D29" authorId="0" shapeId="0">
      <text>
        <t>Loan: Balboa Capital, AMORTIZING. Source: Meiborg_Debt_Schedule_202512.xlsx - Loan 78</t>
      </text>
    </comment>
    <comment ref="E29" authorId="0" shapeId="0">
      <text>
        <t>Loan: Balboa Capital, AMORTIZING. Source: Meiborg_Debt_Schedule_202512.xlsx - Loan 78</t>
      </text>
    </comment>
    <comment ref="F29" authorId="0" shapeId="0">
      <text>
        <t>Loan: Balboa Capital, AMORTIZING. Source: Meiborg_Debt_Schedule_202512.xlsx - Loan 78</t>
      </text>
    </comment>
    <comment ref="C30" authorId="0" shapeId="0">
      <text>
        <t>Loan: Balboa Capital, AMORTIZING. Source: Meiborg_Debt_Schedule_202512.xlsx - Loan 78</t>
      </text>
    </comment>
    <comment ref="D30" authorId="0" shapeId="0">
      <text>
        <t>Loan: Balboa Capital, AMORTIZING. Source: Meiborg_Debt_Schedule_202512.xlsx - Loan 78</t>
      </text>
    </comment>
    <comment ref="E30" authorId="0" shapeId="0">
      <text>
        <t>Loan: Balboa Capital, AMORTIZING. Source: Meiborg_Debt_Schedule_202512.xlsx - Loan 78</t>
      </text>
    </comment>
    <comment ref="F30" authorId="0" shapeId="0">
      <text>
        <t>Loan: Balboa Capital, AMORTIZING. Source: Meiborg_Debt_Schedule_202512.xlsx - Loan 78</t>
      </text>
    </comment>
    <comment ref="C31" authorId="0" shapeId="0">
      <text>
        <t>Loan: Balboa Capital, AMORTIZING. Source: Meiborg_Debt_Schedule_202512.xlsx - Loan 78</t>
      </text>
    </comment>
    <comment ref="D31" authorId="0" shapeId="0">
      <text>
        <t>Loan: Balboa Capital, AMORTIZING. Source: Meiborg_Debt_Schedule_202512.xlsx - Loan 78</t>
      </text>
    </comment>
    <comment ref="E31" authorId="0" shapeId="0">
      <text>
        <t>Loan: Balboa Capital, AMORTIZING. Source: Meiborg_Debt_Schedule_202512.xlsx - Loan 78</t>
      </text>
    </comment>
    <comment ref="F31" authorId="0" shapeId="0">
      <text>
        <t>Loan: Balboa Capital, AMORTIZING. Source: Meiborg_Debt_Schedule_202512.xlsx - Loan 78</t>
      </text>
    </comment>
    <comment ref="C32" authorId="0" shapeId="0">
      <text>
        <t>Loan: Balboa Capital, AMORTIZING. Source: Meiborg_Debt_Schedule_202512.xlsx - Loan 78</t>
      </text>
    </comment>
    <comment ref="D32" authorId="0" shapeId="0">
      <text>
        <t>Loan: Balboa Capital, AMORTIZING. Source: Meiborg_Debt_Schedule_202512.xlsx - Loan 78</t>
      </text>
    </comment>
    <comment ref="E32" authorId="0" shapeId="0">
      <text>
        <t>Loan: Balboa Capital, AMORTIZING. Source: Meiborg_Debt_Schedule_202512.xlsx - Loan 78</t>
      </text>
    </comment>
    <comment ref="F32" authorId="0" shapeId="0">
      <text>
        <t>Loan: Balboa Capital, AMORTIZING. Source: Meiborg_Debt_Schedule_202512.xlsx - Loan 78</t>
      </text>
    </comment>
    <comment ref="C33" authorId="0" shapeId="0">
      <text>
        <t>Loan: Balboa Capital, AMORTIZING. Source: Meiborg_Debt_Schedule_202512.xlsx - Loan 78</t>
      </text>
    </comment>
    <comment ref="D33" authorId="0" shapeId="0">
      <text>
        <t>Loan: Balboa Capital, AMORTIZING. Source: Meiborg_Debt_Schedule_202512.xlsx - Loan 78</t>
      </text>
    </comment>
    <comment ref="E33" authorId="0" shapeId="0">
      <text>
        <t>Loan: Balboa Capital, AMORTIZING. Source: Meiborg_Debt_Schedule_202512.xlsx - Loan 78</t>
      </text>
    </comment>
    <comment ref="F33" authorId="0" shapeId="0">
      <text>
        <t>Loan: Balboa Capital, AMORTIZING. Source: Meiborg_Debt_Schedule_202512.xlsx - Loan 78</t>
      </text>
    </comment>
    <comment ref="C34" authorId="0" shapeId="0">
      <text>
        <t>Loan: Balboa Capital, AMORTIZING. Source: Meiborg_Debt_Schedule_202512.xlsx - Loan 78</t>
      </text>
    </comment>
    <comment ref="D34" authorId="0" shapeId="0">
      <text>
        <t>Loan: Balboa Capital, AMORTIZING. Source: Meiborg_Debt_Schedule_202512.xlsx - Loan 78</t>
      </text>
    </comment>
    <comment ref="E34" authorId="0" shapeId="0">
      <text>
        <t>Loan: Balboa Capital, AMORTIZING. Source: Meiborg_Debt_Schedule_202512.xlsx - Loan 78</t>
      </text>
    </comment>
    <comment ref="F34" authorId="0" shapeId="0">
      <text>
        <t>Loan: Balboa Capital, AMORTIZING. Source: Meiborg_Debt_Schedule_202512.xlsx - Loan 78</t>
      </text>
    </comment>
    <comment ref="C35" authorId="0" shapeId="0">
      <text>
        <t>Loan: Balboa Capital, AMORTIZING. Source: Meiborg_Debt_Schedule_202512.xlsx - Loan 78</t>
      </text>
    </comment>
    <comment ref="D35" authorId="0" shapeId="0">
      <text>
        <t>Loan: Balboa Capital, AMORTIZING. Source: Meiborg_Debt_Schedule_202512.xlsx - Loan 78</t>
      </text>
    </comment>
    <comment ref="E35" authorId="0" shapeId="0">
      <text>
        <t>Loan: Balboa Capital, AMORTIZING. Source: Meiborg_Debt_Schedule_202512.xlsx - Loan 78</t>
      </text>
    </comment>
    <comment ref="F35" authorId="0" shapeId="0">
      <text>
        <t>Loan: Balboa Capital, AMORTIZING. Source: Meiborg_Debt_Schedule_202512.xlsx - Loan 78</t>
      </text>
    </comment>
    <comment ref="C36" authorId="0" shapeId="0">
      <text>
        <t>Loan: Balboa Capital, AMORTIZING. Source: Meiborg_Debt_Schedule_202512.xlsx - Loan 78</t>
      </text>
    </comment>
    <comment ref="D36" authorId="0" shapeId="0">
      <text>
        <t>Loan: Balboa Capital, AMORTIZING. Source: Meiborg_Debt_Schedule_202512.xlsx - Loan 78</t>
      </text>
    </comment>
    <comment ref="E36" authorId="0" shapeId="0">
      <text>
        <t>Loan: Balboa Capital, AMORTIZING. Source: Meiborg_Debt_Schedule_202512.xlsx - Loan 78</t>
      </text>
    </comment>
    <comment ref="F36" authorId="0" shapeId="0">
      <text>
        <t>Loan: Balboa Capital, AMORTIZING. Source: Meiborg_Debt_Schedule_202512.xlsx - Loan 78</t>
      </text>
    </comment>
    <comment ref="C37" authorId="0" shapeId="0">
      <text>
        <t>Loan: Balboa Capital, AMORTIZING. Source: Meiborg_Debt_Schedule_202512.xlsx - Loan 78</t>
      </text>
    </comment>
    <comment ref="D37" authorId="0" shapeId="0">
      <text>
        <t>Loan: Balboa Capital, AMORTIZING. Source: Meiborg_Debt_Schedule_202512.xlsx - Loan 78</t>
      </text>
    </comment>
    <comment ref="E37" authorId="0" shapeId="0">
      <text>
        <t>Loan: Balboa Capital, AMORTIZING. Source: Meiborg_Debt_Schedule_202512.xlsx - Loan 78</t>
      </text>
    </comment>
    <comment ref="F37" authorId="0" shapeId="0">
      <text>
        <t>Loan: Balboa Capital, AMORTIZING. Source: Meiborg_Debt_Schedule_202512.xlsx - Loan 78</t>
      </text>
    </comment>
    <comment ref="C38" authorId="0" shapeId="0">
      <text>
        <t>Loan: Balboa Capital, AMORTIZING. Source: Meiborg_Debt_Schedule_202512.xlsx - Loan 78</t>
      </text>
    </comment>
    <comment ref="D38" authorId="0" shapeId="0">
      <text>
        <t>Loan: Balboa Capital, AMORTIZING. Source: Meiborg_Debt_Schedule_202512.xlsx - Loan 78</t>
      </text>
    </comment>
    <comment ref="E38" authorId="0" shapeId="0">
      <text>
        <t>Loan: Balboa Capital, AMORTIZING. Source: Meiborg_Debt_Schedule_202512.xlsx - Loan 78</t>
      </text>
    </comment>
    <comment ref="F38" authorId="0" shapeId="0">
      <text>
        <t>Loan: Balboa Capital, AMORTIZING. Source: Meiborg_Debt_Schedule_202512.xlsx - Loan 78</t>
      </text>
    </comment>
    <comment ref="C39" authorId="0" shapeId="0">
      <text>
        <t>Loan: Balboa Capital, AMORTIZING. Source: Meiborg_Debt_Schedule_202512.xlsx - Loan 78</t>
      </text>
    </comment>
    <comment ref="D39" authorId="0" shapeId="0">
      <text>
        <t>Loan: Balboa Capital, AMORTIZING. Source: Meiborg_Debt_Schedule_202512.xlsx - Loan 78</t>
      </text>
    </comment>
    <comment ref="E39" authorId="0" shapeId="0">
      <text>
        <t>Loan: Balboa Capital, AMORTIZING. Source: Meiborg_Debt_Schedule_202512.xlsx - Loan 78</t>
      </text>
    </comment>
    <comment ref="F39" authorId="0" shapeId="0">
      <text>
        <t>Loan: Balboa Capital, AMORTIZING. Source: Meiborg_Debt_Schedule_202512.xlsx - Loan 78</t>
      </text>
    </comment>
    <comment ref="C40" authorId="0" shapeId="0">
      <text>
        <t>Loan: Balboa Capital, AMORTIZING. Source: Meiborg_Debt_Schedule_202512.xlsx - Loan 78</t>
      </text>
    </comment>
    <comment ref="D40" authorId="0" shapeId="0">
      <text>
        <t>Loan: Balboa Capital, AMORTIZING. Source: Meiborg_Debt_Schedule_202512.xlsx - Loan 78</t>
      </text>
    </comment>
    <comment ref="E40" authorId="0" shapeId="0">
      <text>
        <t>Loan: Balboa Capital, AMORTIZING. Source: Meiborg_Debt_Schedule_202512.xlsx - Loan 78</t>
      </text>
    </comment>
    <comment ref="F40" authorId="0" shapeId="0">
      <text>
        <t>Loan: Balboa Capital, AMORTIZING. Source: Meiborg_Debt_Schedule_202512.xlsx - Loan 78</t>
      </text>
    </comment>
    <comment ref="C41" authorId="0" shapeId="0">
      <text>
        <t>Loan: Balboa Capital, AMORTIZING. Source: Meiborg_Debt_Schedule_202512.xlsx - Loan 78</t>
      </text>
    </comment>
    <comment ref="D41" authorId="0" shapeId="0">
      <text>
        <t>Loan: Balboa Capital, AMORTIZING. Source: Meiborg_Debt_Schedule_202512.xlsx - Loan 78</t>
      </text>
    </comment>
    <comment ref="E41" authorId="0" shapeId="0">
      <text>
        <t>Loan: Balboa Capital, AMORTIZING. Source: Meiborg_Debt_Schedule_202512.xlsx - Loan 78</t>
      </text>
    </comment>
    <comment ref="F41" authorId="0" shapeId="0">
      <text>
        <t>Loan: Balboa Capital, AMORTIZING. Source: Meiborg_Debt_Schedule_202512.xlsx - Loan 78</t>
      </text>
    </comment>
    <comment ref="C42" authorId="0" shapeId="0">
      <text>
        <t>Loan: Balboa Capital, AMORTIZING. Source: Meiborg_Debt_Schedule_202512.xlsx - Loan 78</t>
      </text>
    </comment>
    <comment ref="D42" authorId="0" shapeId="0">
      <text>
        <t>Loan: Balboa Capital, AMORTIZING. Source: Meiborg_Debt_Schedule_202512.xlsx - Loan 78</t>
      </text>
    </comment>
    <comment ref="E42" authorId="0" shapeId="0">
      <text>
        <t>Loan: Balboa Capital, AMORTIZING. Source: Meiborg_Debt_Schedule_202512.xlsx - Loan 78</t>
      </text>
    </comment>
    <comment ref="F42" authorId="0" shapeId="0">
      <text>
        <t>Loan: Balboa Capital, AMORTIZING. Source: Meiborg_Debt_Schedule_202512.xlsx - Loan 78</t>
      </text>
    </comment>
    <comment ref="C43" authorId="0" shapeId="0">
      <text>
        <t>Loan: Balboa Capital, AMORTIZING. Source: Meiborg_Debt_Schedule_202512.xlsx - Loan 78</t>
      </text>
    </comment>
    <comment ref="D43" authorId="0" shapeId="0">
      <text>
        <t>Loan: Balboa Capital, AMORTIZING. Source: Meiborg_Debt_Schedule_202512.xlsx - Loan 78</t>
      </text>
    </comment>
    <comment ref="E43" authorId="0" shapeId="0">
      <text>
        <t>Loan: Balboa Capital, AMORTIZING. Source: Meiborg_Debt_Schedule_202512.xlsx - Loan 78</t>
      </text>
    </comment>
    <comment ref="F43" authorId="0" shapeId="0">
      <text>
        <t>Loan: Balboa Capital, AMORTIZING. Source: Meiborg_Debt_Schedule_202512.xlsx - Loan 78</t>
      </text>
    </comment>
    <comment ref="C44" authorId="0" shapeId="0">
      <text>
        <t>Loan: Balboa Capital, AMORTIZING. Source: Meiborg_Debt_Schedule_202512.xlsx - Loan 78</t>
      </text>
    </comment>
    <comment ref="D44" authorId="0" shapeId="0">
      <text>
        <t>Loan: Balboa Capital, AMORTIZING. Source: Meiborg_Debt_Schedule_202512.xlsx - Loan 78</t>
      </text>
    </comment>
    <comment ref="E44" authorId="0" shapeId="0">
      <text>
        <t>Loan: Balboa Capital, AMORTIZING. Source: Meiborg_Debt_Schedule_202512.xlsx - Loan 78</t>
      </text>
    </comment>
    <comment ref="F44" authorId="0" shapeId="0">
      <text>
        <t>Loan: Balboa Capital, AMORTIZING. Source: Meiborg_Debt_Schedule_202512.xlsx - Loan 78</t>
      </text>
    </comment>
    <comment ref="B48" authorId="0" shapeId="0">
      <text>
        <t>Sum of rows 20-26: Annual opening balance</t>
      </text>
    </comment>
    <comment ref="C48" authorId="0" shapeId="0">
      <text>
        <t>Sum of rows 20-26: Annual interest expense</t>
      </text>
    </comment>
    <comment ref="D48" authorId="0" shapeId="0">
      <text>
        <t>Sum of rows 20-26: Annual principal repaid</t>
      </text>
    </comment>
    <comment ref="E48" authorId="0" shapeId="0">
      <text>
        <t>Sum of rows 20-26: Year-end closing balance</t>
      </text>
    </comment>
    <comment ref="B49" authorId="0" shapeId="0">
      <text>
        <t>Sum of rows 27-38: Annual opening balance</t>
      </text>
    </comment>
    <comment ref="C49" authorId="0" shapeId="0">
      <text>
        <t>Sum of rows 27-38: Annual interest expense</t>
      </text>
    </comment>
    <comment ref="D49" authorId="0" shapeId="0">
      <text>
        <t>Sum of rows 27-38: Annual principal repaid</t>
      </text>
    </comment>
    <comment ref="E49" authorId="0" shapeId="0">
      <text>
        <t>Sum of rows 27-38: Year-end closing balance</t>
      </text>
    </comment>
    <comment ref="B50" authorId="0" shapeId="0">
      <text>
        <t>Sum of rows 39-44: Annual opening balance</t>
      </text>
    </comment>
    <comment ref="C50" authorId="0" shapeId="0">
      <text>
        <t>Sum of rows 39-44: Annual interest expense</t>
      </text>
    </comment>
    <comment ref="D50" authorId="0" shapeId="0">
      <text>
        <t>Sum of rows 39-44: Annual principal repaid</t>
      </text>
    </comment>
    <comment ref="E50" authorId="0" shapeId="0">
      <text>
        <t>Sum of rows 39-44: Year-end closing balance</t>
      </text>
    </comment>
    <comment ref="B52" authorId="0" shapeId="0">
      <text>
        <t>Links to: header block row 7 - Balance as of 12/31/2025</t>
      </text>
    </comment>
  </commentList>
</comments>
</file>

<file path=xl/comments/comment69.xml><?xml version="1.0" encoding="utf-8"?>
<comments xmlns="http://schemas.openxmlformats.org/spreadsheetml/2006/main">
  <authors>
    <author>Model Builder</author>
  </authors>
  <commentList>
    <comment ref="B2" authorId="0" shapeId="0">
      <text>
        <t>Source: Meiborg_Debt_Schedule_202512.xlsx
Extracted: 2025-12-31</t>
      </text>
    </comment>
    <comment ref="B3" authorId="0" shapeId="0">
      <text>
        <t>Source: Meiborg_Debt_Schedule_202512.xlsx
Extracted: 2025-12-31</t>
      </text>
    </comment>
    <comment ref="B4" authorId="0" shapeId="0">
      <text>
        <t>Source: Meiborg_Debt_Schedule_202512.xlsx
Extracted: 2025-12-31</t>
      </text>
    </comment>
    <comment ref="B5" authorId="0" shapeId="0">
      <text>
        <t>Source: Meiborg_Debt_Schedule_202512.xlsx
Extracted: 2025-12-31</t>
      </text>
    </comment>
    <comment ref="B6" authorId="0" shapeId="0">
      <text>
        <t>Source: Meiborg_Debt_Schedule_202512.xlsx
Extracted: 2025-12-31</t>
      </text>
    </comment>
    <comment ref="B7" authorId="0" shapeId="0">
      <text>
        <t>Source: Meiborg_Debt_Schedule_202512.xlsx
Extracted: 2025-12-31</t>
      </text>
    </comment>
    <comment ref="B8" authorId="0" shapeId="0">
      <text>
        <t>Source: Meiborg_Debt_Schedule_202512.xlsx
Extracted: 2025-12-31</t>
      </text>
    </comment>
    <comment ref="B9" authorId="0" shapeId="0">
      <text>
        <t>Source: Meiborg_Debt_Schedule_202512.xlsx
Extracted: 2025-12-31</t>
      </text>
    </comment>
    <comment ref="B10" authorId="0" shapeId="0">
      <text>
        <t>Source: Meiborg_Debt_Schedule_202512.xlsx
Extracted: 2025-12-31</t>
      </text>
    </comment>
    <comment ref="B11" authorId="0" shapeId="0">
      <text>
        <t>Source: Meiborg_Debt_Schedule_202512.xlsx
Extracted: 2025-12-31</t>
      </text>
    </comment>
    <comment ref="B12" authorId="0" shapeId="0">
      <text>
        <t>Source: Meiborg_Debt_Schedule_202512.xlsx
Extracted: 2025-12-31</t>
      </text>
    </comment>
    <comment ref="B13" authorId="0" shapeId="0">
      <text>
        <t>Source: Meiborg_Debt_Schedule_202512.xlsx
Extracted: 2025-12-31</t>
      </text>
    </comment>
    <comment ref="D23" authorId="0" shapeId="0">
      <text>
        <t>Loan: Wells Fargo, AMORTIZING. Source: Meiborg_Debt_Schedule_202512.xlsx</t>
      </text>
    </comment>
    <comment ref="D24" authorId="0" shapeId="0">
      <text>
        <t>Loan: Wells Fargo, AMORTIZING. Source: Meiborg_Debt_Schedule_202512.xlsx</t>
      </text>
    </comment>
    <comment ref="D25" authorId="0" shapeId="0">
      <text>
        <t>Loan: Wells Fargo, AMORTIZING. Source: Meiborg_Debt_Schedule_202512.xlsx</t>
      </text>
    </comment>
    <comment ref="D26" authorId="0" shapeId="0">
      <text>
        <t>Loan: Wells Fargo, AMORTIZING. Source: Meiborg_Debt_Schedule_202512.xlsx</t>
      </text>
    </comment>
    <comment ref="D27" authorId="0" shapeId="0">
      <text>
        <t>Loan: Wells Fargo, AMORTIZING. Source: Meiborg_Debt_Schedule_202512.xlsx</t>
      </text>
    </comment>
    <comment ref="D28" authorId="0" shapeId="0">
      <text>
        <t>Loan: Wells Fargo, AMORTIZING. Source: Meiborg_Debt_Schedule_202512.xlsx</t>
      </text>
    </comment>
    <comment ref="D29" authorId="0" shapeId="0">
      <text>
        <t>Loan: Wells Fargo, AMORTIZING. Source: Meiborg_Debt_Schedule_202512.xlsx</t>
      </text>
    </comment>
    <comment ref="C34" authorId="0" shapeId="0">
      <text>
        <t>Sum of rows 23-29: Monthly interest</t>
      </text>
    </comment>
    <comment ref="D34" authorId="0" shapeId="0">
      <text>
        <t>Sum of rows 23-29: Monthly principal</t>
      </text>
    </comment>
    <comment ref="B37" authorId="0" shapeId="0">
      <text>
        <t>Links to: Debt Schedule - Wells Fargo _Wells_1</t>
      </text>
    </comment>
  </commentList>
</comments>
</file>

<file path=xl/comments/comment7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loans.md, Loan 004
Extracted: 2026-05-14</t>
      </text>
    </comment>
    <comment ref="B6" authorId="0" shapeId="0">
      <text>
        <t>Source: Meiborg_Debt_Schedule_202512.xlsx
Balance as of 12/31/2025
Original Balance: $1,166,450.00</t>
      </text>
    </comment>
    <comment ref="B7" authorId="0" shapeId="0">
      <text>
        <t>Source: loans.md, Loan 004
Extracted: 2026-05-14</t>
      </text>
    </comment>
    <comment ref="B8" authorId="0" shapeId="0">
      <text>
        <t>Source: loans.md, Loan 004
Extracted: 2026-05-14</t>
      </text>
    </comment>
    <comment ref="C23" authorId="0" shapeId="0">
      <text>
        <t>Loan: Webster Capital Finance. Source: Meiborg_Debt_Schedule_202512.xlsx</t>
      </text>
    </comment>
    <comment ref="D23" authorId="0" shapeId="0">
      <text>
        <t>Loan: Webster Capital Finance. Interest = MAX(0, Opening * Rate/12)</t>
      </text>
    </comment>
    <comment ref="E23" authorId="0" shapeId="0">
      <text>
        <t>Loan: Webster Capital Finance. Principal = MAX(0, MIN(Opening, Payment - Interest))</t>
      </text>
    </comment>
    <comment ref="F23" authorId="0" shapeId="0">
      <text>
        <t>Loan: Webster Capital Finance. Closing = MAX(0, Opening - Principal)</t>
      </text>
    </comment>
    <comment ref="C24" authorId="0" shapeId="0">
      <text>
        <t>Loan: Webster Capital Finance. Opening = prior month closing balance.</t>
      </text>
    </comment>
    <comment ref="D24" authorId="0" shapeId="0">
      <text>
        <t>Loan: Webster Capital Finance. Interest = MAX(0, Opening * Rate/12)</t>
      </text>
    </comment>
    <comment ref="E24" authorId="0" shapeId="0">
      <text>
        <t>Loan: Webster Capital Finance. Principal = MAX(0, MIN(Opening, Payment - Interest))</t>
      </text>
    </comment>
    <comment ref="F24" authorId="0" shapeId="0">
      <text>
        <t>Loan: Webster Capital Finance. Closing = MAX(0, Opening - Principal)</t>
      </text>
    </comment>
    <comment ref="C25" authorId="0" shapeId="0">
      <text>
        <t>Loan: Webster Capital Finance. Opening = prior month closing balance.</t>
      </text>
    </comment>
    <comment ref="D25" authorId="0" shapeId="0">
      <text>
        <t>Loan: Webster Capital Finance. Interest = MAX(0, Opening * Rate/12)</t>
      </text>
    </comment>
    <comment ref="E25" authorId="0" shapeId="0">
      <text>
        <t>Loan: Webster Capital Finance. Principal = MAX(0, MIN(Opening, Payment - Interest))</t>
      </text>
    </comment>
    <comment ref="F25" authorId="0" shapeId="0">
      <text>
        <t>Loan: Webster Capital Finance. Closing = MAX(0, Opening - Principal)</t>
      </text>
    </comment>
    <comment ref="C26" authorId="0" shapeId="0">
      <text>
        <t>Loan: Webster Capital Finance. Opening = prior month closing balance.</t>
      </text>
    </comment>
    <comment ref="D26" authorId="0" shapeId="0">
      <text>
        <t>Loan: Webster Capital Finance. Interest = MAX(0, Opening * Rate/12)</t>
      </text>
    </comment>
    <comment ref="E26" authorId="0" shapeId="0">
      <text>
        <t>Loan: Webster Capital Finance. Principal = MAX(0, MIN(Opening, Payment - Interest))</t>
      </text>
    </comment>
    <comment ref="F26" authorId="0" shapeId="0">
      <text>
        <t>Loan: Webster Capital Finance. Closing = MAX(0, Opening - Principal)</t>
      </text>
    </comment>
    <comment ref="C27" authorId="0" shapeId="0">
      <text>
        <t>Loan: Webster Capital Finance. Opening = prior month closing balance.</t>
      </text>
    </comment>
    <comment ref="D27" authorId="0" shapeId="0">
      <text>
        <t>Loan: Webster Capital Finance. Interest = MAX(0, Opening * Rate/12)</t>
      </text>
    </comment>
    <comment ref="E27" authorId="0" shapeId="0">
      <text>
        <t>Loan: Webster Capital Finance. Principal = MAX(0, MIN(Opening, Payment - Interest))</t>
      </text>
    </comment>
    <comment ref="F27" authorId="0" shapeId="0">
      <text>
        <t>Loan: Webster Capital Finance. Closing = MAX(0, Opening - Principal)</t>
      </text>
    </comment>
    <comment ref="C28" authorId="0" shapeId="0">
      <text>
        <t>Loan: Webster Capital Finance. Opening = prior month closing balance.</t>
      </text>
    </comment>
    <comment ref="D28" authorId="0" shapeId="0">
      <text>
        <t>Loan: Webster Capital Finance. Interest = MAX(0, Opening * Rate/12)</t>
      </text>
    </comment>
    <comment ref="E28" authorId="0" shapeId="0">
      <text>
        <t>Loan: Webster Capital Finance. Principal = MAX(0, MIN(Opening, Payment - Interest))</t>
      </text>
    </comment>
    <comment ref="F28" authorId="0" shapeId="0">
      <text>
        <t>Loan: Webster Capital Finance. Closing = MAX(0, Opening - Principal)</t>
      </text>
    </comment>
    <comment ref="C29" authorId="0" shapeId="0">
      <text>
        <t>Loan: Webster Capital Finance. Opening = prior month closing balance.</t>
      </text>
    </comment>
    <comment ref="D29" authorId="0" shapeId="0">
      <text>
        <t>Loan: Webster Capital Finance. Interest = MAX(0, Opening * Rate/12)</t>
      </text>
    </comment>
    <comment ref="E29" authorId="0" shapeId="0">
      <text>
        <t>Loan: Webster Capital Finance. Principal = MAX(0, MIN(Opening, Payment - Interest))</t>
      </text>
    </comment>
    <comment ref="F29" authorId="0" shapeId="0">
      <text>
        <t>Loan: Webster Capital Finance. Closing = MAX(0, Opening - Principal)</t>
      </text>
    </comment>
    <comment ref="C30" authorId="0" shapeId="0">
      <text>
        <t>Loan: Webster Capital Finance. Opening = prior month closing balance.</t>
      </text>
    </comment>
    <comment ref="D30" authorId="0" shapeId="0">
      <text>
        <t>Loan: Webster Capital Finance. Interest = MAX(0, Opening * Rate/12)</t>
      </text>
    </comment>
    <comment ref="E30" authorId="0" shapeId="0">
      <text>
        <t>Loan: Webster Capital Finance. Principal = MAX(0, MIN(Opening, Payment - Interest))</t>
      </text>
    </comment>
    <comment ref="F30" authorId="0" shapeId="0">
      <text>
        <t>Loan: Webster Capital Finance. Closing = MAX(0, Opening - Principal)</t>
      </text>
    </comment>
    <comment ref="C31" authorId="0" shapeId="0">
      <text>
        <t>Loan: Webster Capital Finance. Opening = prior month closing balance.</t>
      </text>
    </comment>
    <comment ref="D31" authorId="0" shapeId="0">
      <text>
        <t>Loan: Webster Capital Finance. Interest = MAX(0, Opening * Rate/12)</t>
      </text>
    </comment>
    <comment ref="E31" authorId="0" shapeId="0">
      <text>
        <t>Loan: Webster Capital Finance. Principal = MAX(0, MIN(Opening, Payment - Interest))</t>
      </text>
    </comment>
    <comment ref="F31" authorId="0" shapeId="0">
      <text>
        <t>Loan: Webster Capital Finance. Closing = MAX(0, Opening - Principal)</t>
      </text>
    </comment>
    <comment ref="C32" authorId="0" shapeId="0">
      <text>
        <t>Loan: Webster Capital Finance. Opening = prior month closing balance.</t>
      </text>
    </comment>
    <comment ref="D32" authorId="0" shapeId="0">
      <text>
        <t>Loan: Webster Capital Finance. Interest = MAX(0, Opening * Rate/12)</t>
      </text>
    </comment>
    <comment ref="E32" authorId="0" shapeId="0">
      <text>
        <t>Loan: Webster Capital Finance. Principal = MAX(0, MIN(Opening, Payment - Interest))</t>
      </text>
    </comment>
    <comment ref="F32" authorId="0" shapeId="0">
      <text>
        <t>Loan: Webster Capital Finance. Closing = MAX(0, Opening - Principal)</t>
      </text>
    </comment>
    <comment ref="C33" authorId="0" shapeId="0">
      <text>
        <t>Loan: Webster Capital Finance. Opening = prior month closing balance.</t>
      </text>
    </comment>
    <comment ref="D33" authorId="0" shapeId="0">
      <text>
        <t>Loan: Webster Capital Finance. Interest = MAX(0, Opening * Rate/12)</t>
      </text>
    </comment>
    <comment ref="E33" authorId="0" shapeId="0">
      <text>
        <t>Loan: Webster Capital Finance. Principal = MAX(0, MIN(Opening, Payment - Interest))</t>
      </text>
    </comment>
    <comment ref="F33" authorId="0" shapeId="0">
      <text>
        <t>Loan: Webster Capital Finance. Closing = MAX(0, Opening - Principal)</t>
      </text>
    </comment>
    <comment ref="C34" authorId="0" shapeId="0">
      <text>
        <t>Loan: Webster Capital Finance. Opening = prior month closing balance.</t>
      </text>
    </comment>
    <comment ref="D34" authorId="0" shapeId="0">
      <text>
        <t>Loan: Webster Capital Finance. Interest = MAX(0, Opening * Rate/12)</t>
      </text>
    </comment>
    <comment ref="E34" authorId="0" shapeId="0">
      <text>
        <t>Loan: Webster Capital Finance. Principal = MAX(0, MIN(Opening, Payment - Interest))</t>
      </text>
    </comment>
    <comment ref="F34" authorId="0" shapeId="0">
      <text>
        <t>Loan: Webster Capital Finance. Closing = MAX(0, Opening - Principal)</t>
      </text>
    </comment>
    <comment ref="C35" authorId="0" shapeId="0">
      <text>
        <t>Loan: Webster Capital Finance. Opening = prior month closing balance.</t>
      </text>
    </comment>
    <comment ref="D35" authorId="0" shapeId="0">
      <text>
        <t>Loan: Webster Capital Finance. Interest = MAX(0, Opening * Rate/12)</t>
      </text>
    </comment>
    <comment ref="E35" authorId="0" shapeId="0">
      <text>
        <t>Loan: Webster Capital Finance. Principal = MAX(0, MIN(Opening, Payment - Interest))</t>
      </text>
    </comment>
    <comment ref="F35" authorId="0" shapeId="0">
      <text>
        <t>Loan: Webster Capital Finance. Closing = MAX(0, Opening - Principal)</t>
      </text>
    </comment>
    <comment ref="C36" authorId="0" shapeId="0">
      <text>
        <t>Loan: Webster Capital Finance. Opening = prior month closing balance.</t>
      </text>
    </comment>
    <comment ref="D36" authorId="0" shapeId="0">
      <text>
        <t>Loan: Webster Capital Finance. Interest = MAX(0, Opening * Rate/12)</t>
      </text>
    </comment>
    <comment ref="E36" authorId="0" shapeId="0">
      <text>
        <t>Loan: Webster Capital Finance. Principal = MAX(0, MIN(Opening, Payment - Interest))</t>
      </text>
    </comment>
    <comment ref="F36" authorId="0" shapeId="0">
      <text>
        <t>Loan: Webster Capital Finance. Closing = MAX(0, Opening - Principal)</t>
      </text>
    </comment>
    <comment ref="C37" authorId="0" shapeId="0">
      <text>
        <t>Loan: Webster Capital Finance. Opening = prior month closing balance.</t>
      </text>
    </comment>
    <comment ref="D37" authorId="0" shapeId="0">
      <text>
        <t>Loan: Webster Capital Finance. Interest = MAX(0, Opening * Rate/12)</t>
      </text>
    </comment>
    <comment ref="E37" authorId="0" shapeId="0">
      <text>
        <t>Loan: Webster Capital Finance. Principal = MAX(0, MIN(Opening, Payment - Interest))</t>
      </text>
    </comment>
    <comment ref="F37" authorId="0" shapeId="0">
      <text>
        <t>Loan: Webster Capital Finance. Closing = MAX(0, Opening - Principal)</t>
      </text>
    </comment>
    <comment ref="C38" authorId="0" shapeId="0">
      <text>
        <t>Loan: Webster Capital Finance. Opening = prior month closing balance.</t>
      </text>
    </comment>
    <comment ref="D38" authorId="0" shapeId="0">
      <text>
        <t>Loan: Webster Capital Finance. Interest = MAX(0, Opening * Rate/12)</t>
      </text>
    </comment>
    <comment ref="E38" authorId="0" shapeId="0">
      <text>
        <t>Loan: Webster Capital Finance. Principal = MAX(0, MIN(Opening, Payment - Interest))</t>
      </text>
    </comment>
    <comment ref="F38" authorId="0" shapeId="0">
      <text>
        <t>Loan: Webster Capital Finance. Closing = MAX(0, Opening - Principal)</t>
      </text>
    </comment>
    <comment ref="C39" authorId="0" shapeId="0">
      <text>
        <t>Loan: Webster Capital Finance. Opening = prior month closing balance.</t>
      </text>
    </comment>
    <comment ref="D39" authorId="0" shapeId="0">
      <text>
        <t>Loan: Webster Capital Finance. Interest = MAX(0, Opening * Rate/12)</t>
      </text>
    </comment>
    <comment ref="E39" authorId="0" shapeId="0">
      <text>
        <t>Loan: Webster Capital Finance. Principal = MAX(0, MIN(Opening, Payment - Interest))</t>
      </text>
    </comment>
    <comment ref="F39" authorId="0" shapeId="0">
      <text>
        <t>Loan: Webster Capital Finance. Closing = MAX(0, Opening - Principal)</t>
      </text>
    </comment>
    <comment ref="C40" authorId="0" shapeId="0">
      <text>
        <t>Loan: Webster Capital Finance. Opening = prior month closing balance.</t>
      </text>
    </comment>
    <comment ref="D40" authorId="0" shapeId="0">
      <text>
        <t>Loan: Webster Capital Finance. Interest = MAX(0, Opening * Rate/12)</t>
      </text>
    </comment>
    <comment ref="E40" authorId="0" shapeId="0">
      <text>
        <t>Loan: Webster Capital Finance. Principal = MAX(0, MIN(Opening, Payment - Interest))</t>
      </text>
    </comment>
    <comment ref="F40" authorId="0" shapeId="0">
      <text>
        <t>Loan: Webster Capital Finance. Closing = MAX(0, Opening - Principal)</t>
      </text>
    </comment>
    <comment ref="C41" authorId="0" shapeId="0">
      <text>
        <t>Loan: Webster Capital Finance. Opening = prior month closing balance.</t>
      </text>
    </comment>
    <comment ref="D41" authorId="0" shapeId="0">
      <text>
        <t>Loan: Webster Capital Finance. Interest = MAX(0, Opening * Rate/12)</t>
      </text>
    </comment>
    <comment ref="E41" authorId="0" shapeId="0">
      <text>
        <t>Loan: Webster Capital Finance. Principal = MAX(0, MIN(Opening, Payment - Interest))</t>
      </text>
    </comment>
    <comment ref="F41" authorId="0" shapeId="0">
      <text>
        <t>Loan: Webster Capital Finance. Closing = MAX(0, Opening - Principal)</t>
      </text>
    </comment>
    <comment ref="C42" authorId="0" shapeId="0">
      <text>
        <t>Loan: Webster Capital Finance. Opening = prior month closing balance.</t>
      </text>
    </comment>
    <comment ref="D42" authorId="0" shapeId="0">
      <text>
        <t>Loan: Webster Capital Finance. Interest = MAX(0, Opening * Rate/12)</t>
      </text>
    </comment>
    <comment ref="E42" authorId="0" shapeId="0">
      <text>
        <t>Loan: Webster Capital Finance. Principal = MAX(0, MIN(Opening, Payment - Interest))</t>
      </text>
    </comment>
    <comment ref="F42" authorId="0" shapeId="0">
      <text>
        <t>Loan: Webster Capital Finance. Closing = MAX(0, Opening - Principal)</t>
      </text>
    </comment>
    <comment ref="C43" authorId="0" shapeId="0">
      <text>
        <t>Loan: Webster Capital Finance. Opening = prior month closing balance.</t>
      </text>
    </comment>
    <comment ref="D43" authorId="0" shapeId="0">
      <text>
        <t>Loan: Webster Capital Finance. Interest = MAX(0, Opening * Rate/12)</t>
      </text>
    </comment>
    <comment ref="E43" authorId="0" shapeId="0">
      <text>
        <t>Loan: Webster Capital Finance. Principal = MAX(0, MIN(Opening, Payment - Interest))</t>
      </text>
    </comment>
    <comment ref="F43" authorId="0" shapeId="0">
      <text>
        <t>Loan: Webster Capital Finance. Closing = MAX(0, Opening - Principal)</t>
      </text>
    </comment>
    <comment ref="C44" authorId="0" shapeId="0">
      <text>
        <t>Loan: Webster Capital Finance. Opening = prior month closing balance.</t>
      </text>
    </comment>
    <comment ref="D44" authorId="0" shapeId="0">
      <text>
        <t>Loan: Webster Capital Finance. Interest = MAX(0, Opening * Rate/12)</t>
      </text>
    </comment>
    <comment ref="E44" authorId="0" shapeId="0">
      <text>
        <t>Loan: Webster Capital Finance. Principal = MAX(0, MIN(Opening, Payment - Interest))</t>
      </text>
    </comment>
    <comment ref="F44" authorId="0" shapeId="0">
      <text>
        <t>Loan: Webster Capital Finance. Closing = MAX(0, Opening - Principal)</t>
      </text>
    </comment>
    <comment ref="C45" authorId="0" shapeId="0">
      <text>
        <t>Loan: Webster Capital Finance. Opening = prior month closing balance.</t>
      </text>
    </comment>
    <comment ref="D45" authorId="0" shapeId="0">
      <text>
        <t>Loan: Webster Capital Finance. Interest = MAX(0, Opening * Rate/12)</t>
      </text>
    </comment>
    <comment ref="E45" authorId="0" shapeId="0">
      <text>
        <t>Loan: Webster Capital Finance. Principal = MAX(0, MIN(Opening, Payment - Interest))</t>
      </text>
    </comment>
    <comment ref="F45" authorId="0" shapeId="0">
      <text>
        <t>Loan: Webster Capital Finance. Closing = MAX(0, Opening - Principal)</t>
      </text>
    </comment>
    <comment ref="C46" authorId="0" shapeId="0">
      <text>
        <t>Loan: Webster Capital Finance. Opening = prior month closing balance.</t>
      </text>
    </comment>
    <comment ref="D46" authorId="0" shapeId="0">
      <text>
        <t>Loan: Webster Capital Finance. Interest = MAX(0, Opening * Rate/12)</t>
      </text>
    </comment>
    <comment ref="E46" authorId="0" shapeId="0">
      <text>
        <t>Loan: Webster Capital Finance. Principal = MAX(0, MIN(Opening, Payment - Interest))</t>
      </text>
    </comment>
    <comment ref="F46" authorId="0" shapeId="0">
      <text>
        <t>Loan: Webster Capital Finance. Closing = MAX(0, Opening - Principal)</t>
      </text>
    </comment>
    <comment ref="C47" authorId="0" shapeId="0">
      <text>
        <t>Loan: Webster Capital Finance. Opening = prior month closing balance.</t>
      </text>
    </comment>
    <comment ref="D47" authorId="0" shapeId="0">
      <text>
        <t>Loan: Webster Capital Finance. Interest = MAX(0, Opening * Rate/12)</t>
      </text>
    </comment>
    <comment ref="E47" authorId="0" shapeId="0">
      <text>
        <t>Loan: Webster Capital Finance. Principal = MAX(0, MIN(Opening, Payment - Interest))</t>
      </text>
    </comment>
    <comment ref="F47" authorId="0" shapeId="0">
      <text>
        <t>Loan: Webster Capital Finance. Closing = MAX(0, Opening - Principal)</t>
      </text>
    </comment>
    <comment ref="C48" authorId="0" shapeId="0">
      <text>
        <t>Loan: Webster Capital Finance. Opening = prior month closing balance.</t>
      </text>
    </comment>
    <comment ref="D48" authorId="0" shapeId="0">
      <text>
        <t>Loan: Webster Capital Finance. Interest = MAX(0, Opening * Rate/12)</t>
      </text>
    </comment>
    <comment ref="E48" authorId="0" shapeId="0">
      <text>
        <t>Loan: Webster Capital Finance. Principal = MAX(0, MIN(Opening, Payment - Interest))</t>
      </text>
    </comment>
    <comment ref="F48" authorId="0" shapeId="0">
      <text>
        <t>Loan: Webster Capital Finance. Closing = MAX(0, Opening - Principal)</t>
      </text>
    </comment>
    <comment ref="C49" authorId="0" shapeId="0">
      <text>
        <t>Loan: Webster Capital Finance. Opening = prior month closing balance.</t>
      </text>
    </comment>
    <comment ref="D49" authorId="0" shapeId="0">
      <text>
        <t>Loan: Webster Capital Finance. Interest = MAX(0, Opening * Rate/12)</t>
      </text>
    </comment>
    <comment ref="E49" authorId="0" shapeId="0">
      <text>
        <t>Loan: Webster Capital Finance. Principal = MAX(0, MIN(Opening, Payment - Interest))</t>
      </text>
    </comment>
    <comment ref="F49" authorId="0" shapeId="0">
      <text>
        <t>Loan: Webster Capital Finance. Closing = MAX(0, Opening - Principal)</t>
      </text>
    </comment>
    <comment ref="C50" authorId="0" shapeId="0">
      <text>
        <t>Loan: Webster Capital Finance. Opening = prior month closing balance.</t>
      </text>
    </comment>
    <comment ref="D50" authorId="0" shapeId="0">
      <text>
        <t>Loan: Webster Capital Finance. Interest = MAX(0, Opening * Rate/12)</t>
      </text>
    </comment>
    <comment ref="E50" authorId="0" shapeId="0">
      <text>
        <t>Loan: Webster Capital Finance. Principal = MAX(0, MIN(Opening, Payment - Interest))</t>
      </text>
    </comment>
    <comment ref="F50" authorId="0" shapeId="0">
      <text>
        <t>Loan: Webster Capital Finance. Closing = MAX(0, Opening - Principal)</t>
      </text>
    </comment>
    <comment ref="C51" authorId="0" shapeId="0">
      <text>
        <t>Loan: Webster Capital Finance. Opening = prior month closing balance.</t>
      </text>
    </comment>
    <comment ref="D51" authorId="0" shapeId="0">
      <text>
        <t>Loan: Webster Capital Finance. Interest = MAX(0, Opening * Rate/12)</t>
      </text>
    </comment>
    <comment ref="E51" authorId="0" shapeId="0">
      <text>
        <t>Loan: Webster Capital Finance. Principal = MAX(0, MIN(Opening, Payment - Interest))</t>
      </text>
    </comment>
    <comment ref="F51" authorId="0" shapeId="0">
      <text>
        <t>Loan: Webster Capital Finance. Closing = MAX(0, Opening - Principal)</t>
      </text>
    </comment>
    <comment ref="C52" authorId="0" shapeId="0">
      <text>
        <t>Loan: Webster Capital Finance. Opening = prior month closing balance.</t>
      </text>
    </comment>
    <comment ref="D52" authorId="0" shapeId="0">
      <text>
        <t>Loan: Webster Capital Finance. Interest = MAX(0, Opening * Rate/12)</t>
      </text>
    </comment>
    <comment ref="E52" authorId="0" shapeId="0">
      <text>
        <t>Loan: Webster Capital Finance. Principal = MAX(0, MIN(Opening, Payment - Interest))</t>
      </text>
    </comment>
    <comment ref="F52" authorId="0" shapeId="0">
      <text>
        <t>Loan: Webster Capital Finance. Closing = MAX(0, Opening - Principal)</t>
      </text>
    </comment>
    <comment ref="C53" authorId="0" shapeId="0">
      <text>
        <t>Loan: Webster Capital Finance. Opening = prior month closing balance.</t>
      </text>
    </comment>
    <comment ref="D53" authorId="0" shapeId="0">
      <text>
        <t>Loan: Webster Capital Finance. Interest = MAX(0, Opening * Rate/12)</t>
      </text>
    </comment>
    <comment ref="E53" authorId="0" shapeId="0">
      <text>
        <t>Loan: Webster Capital Finance. Principal = MAX(0, MIN(Opening, Payment - Interest))</t>
      </text>
    </comment>
    <comment ref="F53" authorId="0" shapeId="0">
      <text>
        <t>Loan: Webster Capital Finance. Closing = MAX(0, Opening - Principal)</t>
      </text>
    </comment>
    <comment ref="C54" authorId="0" shapeId="0">
      <text>
        <t>Loan: Webster Capital Finance. Opening = prior month closing balance.</t>
      </text>
    </comment>
    <comment ref="D54" authorId="0" shapeId="0">
      <text>
        <t>Loan: Webster Capital Finance. Interest = MAX(0, Opening * Rate/12)</t>
      </text>
    </comment>
    <comment ref="E54" authorId="0" shapeId="0">
      <text>
        <t>Loan: Webster Capital Finance. Principal = MAX(0, MIN(Opening, Payment - Interest))</t>
      </text>
    </comment>
    <comment ref="F54" authorId="0" shapeId="0">
      <text>
        <t>Loan: Webster Capital Finance. Closing = MAX(0, Opening - Principal)</t>
      </text>
    </comment>
    <comment ref="C55" authorId="0" shapeId="0">
      <text>
        <t>Loan: Webster Capital Finance. Opening = prior month closing balance.</t>
      </text>
    </comment>
    <comment ref="D55" authorId="0" shapeId="0">
      <text>
        <t>Loan: Webster Capital Finance. Interest = MAX(0, Opening * Rate/12)</t>
      </text>
    </comment>
    <comment ref="E55" authorId="0" shapeId="0">
      <text>
        <t>Loan: Webster Capital Finance. Principal = MAX(0, MIN(Opening, Payment - Interest))</t>
      </text>
    </comment>
    <comment ref="F55" authorId="0" shapeId="0">
      <text>
        <t>Loan: Webster Capital Finance. Closing = MAX(0, Opening - Principal)</t>
      </text>
    </comment>
    <comment ref="C56" authorId="0" shapeId="0">
      <text>
        <t>Loan: Webster Capital Finance. Opening = prior month closing balance.</t>
      </text>
    </comment>
    <comment ref="D56" authorId="0" shapeId="0">
      <text>
        <t>Loan: Webster Capital Finance. Interest = MAX(0, Opening * Rate/12)</t>
      </text>
    </comment>
    <comment ref="E56" authorId="0" shapeId="0">
      <text>
        <t>Loan: Webster Capital Finance. Principal = MAX(0, MIN(Opening, Payment - Interest))</t>
      </text>
    </comment>
    <comment ref="F56" authorId="0" shapeId="0">
      <text>
        <t>Loan: Webster Capital Finance. Closing = MAX(0, Opening - Principal)</t>
      </text>
    </comment>
    <comment ref="C57" authorId="0" shapeId="0">
      <text>
        <t>Loan: Webster Capital Finance. Opening = prior month closing balance.</t>
      </text>
    </comment>
    <comment ref="D57" authorId="0" shapeId="0">
      <text>
        <t>Loan: Webster Capital Finance. Interest = MAX(0, Opening * Rate/12)</t>
      </text>
    </comment>
    <comment ref="E57" authorId="0" shapeId="0">
      <text>
        <t>Loan: Webster Capital Finance. Principal = MAX(0, MIN(Opening, Payment - Interest))</t>
      </text>
    </comment>
    <comment ref="F57" authorId="0" shapeId="0">
      <text>
        <t>Loan: Webster Capital Finance. Closing = MAX(0, Opening - Principal)</t>
      </text>
    </comment>
    <comment ref="C58" authorId="0" shapeId="0">
      <text>
        <t>Loan: Webster Capital Finance. Opening = prior month closing balance.</t>
      </text>
    </comment>
    <comment ref="D58" authorId="0" shapeId="0">
      <text>
        <t>Loan: Webster Capital Finance. Interest = MAX(0, Opening * Rate/12)</t>
      </text>
    </comment>
    <comment ref="E58" authorId="0" shapeId="0">
      <text>
        <t>Loan: Webster Capital Finance. Principal = MAX(0, MIN(Opening, Payment - Interest))</t>
      </text>
    </comment>
    <comment ref="F58" authorId="0" shapeId="0">
      <text>
        <t>Loan: Webster Capital Finance. Closing = MAX(0, Opening - Principal)</t>
      </text>
    </comment>
    <comment ref="C59" authorId="0" shapeId="0">
      <text>
        <t>Loan: Webster Capital Finance. Opening = prior month closing balance.</t>
      </text>
    </comment>
    <comment ref="D59" authorId="0" shapeId="0">
      <text>
        <t>Loan: Webster Capital Finance. Interest = MAX(0, Opening * Rate/12)</t>
      </text>
    </comment>
    <comment ref="E59" authorId="0" shapeId="0">
      <text>
        <t>Loan: Webster Capital Finance. Principal = MAX(0, MIN(Opening, Payment - Interest))</t>
      </text>
    </comment>
    <comment ref="F59" authorId="0" shapeId="0">
      <text>
        <t>Loan: Webster Capital Finance. Closing = MAX(0, Opening - Principal)</t>
      </text>
    </comment>
    <comment ref="C60" authorId="0" shapeId="0">
      <text>
        <t>Loan: Webster Capital Finance. Opening = prior month closing balance.</t>
      </text>
    </comment>
    <comment ref="D60" authorId="0" shapeId="0">
      <text>
        <t>Loan: Webster Capital Finance. Interest = MAX(0, Opening * Rate/12)</t>
      </text>
    </comment>
    <comment ref="E60" authorId="0" shapeId="0">
      <text>
        <t>Loan: Webster Capital Finance. Principal = MAX(0, MIN(Opening, Payment - Interest))</t>
      </text>
    </comment>
    <comment ref="F60" authorId="0" shapeId="0">
      <text>
        <t>Loan: Webster Capital Finance. Closing = MAX(0, Opening - Principal)</t>
      </text>
    </comment>
    <comment ref="C65" authorId="0" shapeId="0">
      <text>
        <t>Sum of rows 23-34: Year 2026 opening balance</t>
      </text>
    </comment>
    <comment ref="D65" authorId="0" shapeId="0">
      <text>
        <t>Sum of rows 23-34: Year 2026 interest expense</t>
      </text>
    </comment>
    <comment ref="E65" authorId="0" shapeId="0">
      <text>
        <t>Sum of rows 23-34: Year 2026 principal repaid</t>
      </text>
    </comment>
    <comment ref="F65" authorId="0" shapeId="0">
      <text>
        <t>Sum of rows 23-34: Year 2026 closing balance</t>
      </text>
    </comment>
    <comment ref="C66" authorId="0" shapeId="0">
      <text>
        <t>Sum of rows 35-46: Year 2027 opening balance</t>
      </text>
    </comment>
    <comment ref="D66" authorId="0" shapeId="0">
      <text>
        <t>Sum of rows 35-46: Year 2027 interest expense</t>
      </text>
    </comment>
    <comment ref="E66" authorId="0" shapeId="0">
      <text>
        <t>Sum of rows 35-46: Year 2027 principal repaid</t>
      </text>
    </comment>
    <comment ref="F66" authorId="0" shapeId="0">
      <text>
        <t>Sum of rows 35-46: Year 2027 closing balance</t>
      </text>
    </comment>
    <comment ref="C67" authorId="0" shapeId="0">
      <text>
        <t>Sum of rows 47-58: Year 2028 opening balance</t>
      </text>
    </comment>
    <comment ref="D67" authorId="0" shapeId="0">
      <text>
        <t>Sum of rows 47-58: Year 2028 interest expense</t>
      </text>
    </comment>
    <comment ref="E67" authorId="0" shapeId="0">
      <text>
        <t>Sum of rows 47-58: Year 2028 principal repaid</t>
      </text>
    </comment>
    <comment ref="F67" authorId="0" shapeId="0">
      <text>
        <t>Sum of rows 47-58: Year 2028 closing balance</t>
      </text>
    </comment>
    <comment ref="C68" authorId="0" shapeId="0">
      <text>
        <t>Sum of rows 59-60: Year 2029 opening balance</t>
      </text>
    </comment>
    <comment ref="D68" authorId="0" shapeId="0">
      <text>
        <t>Sum of rows 59-60: Year 2029 interest expense</t>
      </text>
    </comment>
    <comment ref="E68" authorId="0" shapeId="0">
      <text>
        <t>Sum of rows 59-60: Year 2029 principal repaid</t>
      </text>
    </comment>
    <comment ref="F68" authorId="0" shapeId="0">
      <text>
        <t>Sum of rows 59-60: Year 2029 closing balance</t>
      </text>
    </comment>
  </commentList>
</comments>
</file>

<file path=xl/comments/comment70.xml><?xml version="1.0" encoding="utf-8"?>
<comments xmlns="http://schemas.openxmlformats.org/spreadsheetml/2006/main">
  <authors>
    <author>Model Builder</author>
  </authors>
  <commentList>
    <comment ref="B2" authorId="0" shapeId="0">
      <text>
        <t>Source: Meiborg_Debt_Schedule_202512.xlsx
Extracted: 2025-12-31</t>
      </text>
    </comment>
    <comment ref="B3" authorId="0" shapeId="0">
      <text>
        <t>Source: Meiborg_Debt_Schedule_202512.xlsx
Extracted: 2025-12-31</t>
      </text>
    </comment>
    <comment ref="B4" authorId="0" shapeId="0">
      <text>
        <t>Source: Meiborg_Debt_Schedule_202512.xlsx
Extracted: 2025-12-31</t>
      </text>
    </comment>
    <comment ref="B5" authorId="0" shapeId="0">
      <text>
        <t>Source: Meiborg_Debt_Schedule_202512.xlsx
Extracted: 2025-12-31</t>
      </text>
    </comment>
    <comment ref="B6" authorId="0" shapeId="0">
      <text>
        <t>Source: Meiborg_Debt_Schedule_202512.xlsx
Extracted: 2025-12-31</t>
      </text>
    </comment>
    <comment ref="B7" authorId="0" shapeId="0">
      <text>
        <t>Source: Meiborg_Debt_Schedule_202512.xlsx
Extracted: 2025-12-31</t>
      </text>
    </comment>
    <comment ref="B8" authorId="0" shapeId="0">
      <text>
        <t>Source: Meiborg_Debt_Schedule_202512.xlsx
Extracted: 2025-12-31</t>
      </text>
    </comment>
    <comment ref="B9" authorId="0" shapeId="0">
      <text>
        <t>Source: Meiborg_Debt_Schedule_202512.xlsx
Extracted: 2025-12-31</t>
      </text>
    </comment>
    <comment ref="B10" authorId="0" shapeId="0">
      <text>
        <t>Source: Meiborg_Debt_Schedule_202512.xlsx
Extracted: 2025-12-31</t>
      </text>
    </comment>
    <comment ref="B11" authorId="0" shapeId="0">
      <text>
        <t>Source: Meiborg_Debt_Schedule_202512.xlsx
Extracted: 2025-12-31</t>
      </text>
    </comment>
    <comment ref="B12" authorId="0" shapeId="0">
      <text>
        <t>Source: Meiborg_Debt_Schedule_202512.xlsx
Extracted: 2025-12-31</t>
      </text>
    </comment>
    <comment ref="B13" authorId="0" shapeId="0">
      <text>
        <t>Source: Meiborg_Debt_Schedule_202512.xlsx
Extracted: 2025-12-31</t>
      </text>
    </comment>
    <comment ref="D23" authorId="0" shapeId="0">
      <text>
        <t>Loan: Wells Fargo, AMORTIZING. Source: Meiborg_Debt_Schedule_202512.xlsx</t>
      </text>
    </comment>
    <comment ref="D24" authorId="0" shapeId="0">
      <text>
        <t>Loan: Wells Fargo, AMORTIZING. Source: Meiborg_Debt_Schedule_202512.xlsx</t>
      </text>
    </comment>
    <comment ref="D25" authorId="0" shapeId="0">
      <text>
        <t>Loan: Wells Fargo, AMORTIZING. Source: Meiborg_Debt_Schedule_202512.xlsx</t>
      </text>
    </comment>
    <comment ref="D26" authorId="0" shapeId="0">
      <text>
        <t>Loan: Wells Fargo, AMORTIZING. Source: Meiborg_Debt_Schedule_202512.xlsx</t>
      </text>
    </comment>
    <comment ref="D27" authorId="0" shapeId="0">
      <text>
        <t>Loan: Wells Fargo, AMORTIZING. Source: Meiborg_Debt_Schedule_202512.xlsx</t>
      </text>
    </comment>
    <comment ref="D28" authorId="0" shapeId="0">
      <text>
        <t>Loan: Wells Fargo, AMORTIZING. Source: Meiborg_Debt_Schedule_202512.xlsx</t>
      </text>
    </comment>
    <comment ref="D29" authorId="0" shapeId="0">
      <text>
        <t>Loan: Wells Fargo, AMORTIZING. Source: Meiborg_Debt_Schedule_202512.xlsx</t>
      </text>
    </comment>
    <comment ref="D30" authorId="0" shapeId="0">
      <text>
        <t>Loan: Wells Fargo, AMORTIZING. Source: Meiborg_Debt_Schedule_202512.xlsx</t>
      </text>
    </comment>
    <comment ref="C35" authorId="0" shapeId="0">
      <text>
        <t>Sum of rows 23-30: Monthly interest</t>
      </text>
    </comment>
    <comment ref="D35" authorId="0" shapeId="0">
      <text>
        <t>Sum of rows 23-30: Monthly principal</t>
      </text>
    </comment>
    <comment ref="B38" authorId="0" shapeId="0">
      <text>
        <t>Links to: Debt Schedule - Wells Fargo _Wells_2</t>
      </text>
    </comment>
  </commentList>
</comments>
</file>

<file path=xl/comments/comment71.xml><?xml version="1.0" encoding="utf-8"?>
<comments xmlns="http://schemas.openxmlformats.org/spreadsheetml/2006/main">
  <authors>
    <author>Model Builder</author>
  </authors>
  <commentList>
    <comment ref="B2" authorId="0" shapeId="0">
      <text>
        <t>Source: Meiborg_Debt_Schedule_202512.xlsx
Extracted: 2025-12-31</t>
      </text>
    </comment>
    <comment ref="B3" authorId="0" shapeId="0">
      <text>
        <t>Source: Meiborg_Debt_Schedule_202512.xlsx
Extracted: 2025-12-31</t>
      </text>
    </comment>
    <comment ref="B4" authorId="0" shapeId="0">
      <text>
        <t>Source: Meiborg_Debt_Schedule_202512.xlsx
Extracted: 2025-12-31</t>
      </text>
    </comment>
    <comment ref="B5" authorId="0" shapeId="0">
      <text>
        <t>Source: Meiborg_Debt_Schedule_202512.xlsx
Extracted: 2025-12-31</t>
      </text>
    </comment>
    <comment ref="B6" authorId="0" shapeId="0">
      <text>
        <t>Source: Meiborg_Debt_Schedule_202512.xlsx
Extracted: 2025-12-31</t>
      </text>
    </comment>
    <comment ref="B7" authorId="0" shapeId="0">
      <text>
        <t>Source: Meiborg_Debt_Schedule_202512.xlsx
Extracted: 2025-12-31</t>
      </text>
    </comment>
    <comment ref="B8" authorId="0" shapeId="0">
      <text>
        <t>Source: Meiborg_Debt_Schedule_202512.xlsx
Extracted: 2025-12-31</t>
      </text>
    </comment>
    <comment ref="B9" authorId="0" shapeId="0">
      <text>
        <t>Source: Meiborg_Debt_Schedule_202512.xlsx
Extracted: 2025-12-31</t>
      </text>
    </comment>
    <comment ref="B10" authorId="0" shapeId="0">
      <text>
        <t>Source: Meiborg_Debt_Schedule_202512.xlsx
Extracted: 2025-12-31</t>
      </text>
    </comment>
    <comment ref="B11" authorId="0" shapeId="0">
      <text>
        <t>Source: Meiborg_Debt_Schedule_202512.xlsx
Extracted: 2025-12-31</t>
      </text>
    </comment>
    <comment ref="B12" authorId="0" shapeId="0">
      <text>
        <t>Source: Meiborg_Debt_Schedule_202512.xlsx
Extracted: 2025-12-31</t>
      </text>
    </comment>
    <comment ref="B13" authorId="0" shapeId="0">
      <text>
        <t>Source: Meiborg_Debt_Schedule_202512.xlsx
Extracted: 2025-12-31</t>
      </text>
    </comment>
    <comment ref="D23" authorId="0" shapeId="0">
      <text>
        <t>Loan: Wells Fargo, AMORTIZING. Source: Meiborg_Debt_Schedule_202512.xlsx</t>
      </text>
    </comment>
    <comment ref="D24" authorId="0" shapeId="0">
      <text>
        <t>Loan: Wells Fargo, AMORTIZING. Source: Meiborg_Debt_Schedule_202512.xlsx</t>
      </text>
    </comment>
    <comment ref="D25" authorId="0" shapeId="0">
      <text>
        <t>Loan: Wells Fargo, AMORTIZING. Source: Meiborg_Debt_Schedule_202512.xlsx</t>
      </text>
    </comment>
    <comment ref="D26" authorId="0" shapeId="0">
      <text>
        <t>Loan: Wells Fargo, AMORTIZING. Source: Meiborg_Debt_Schedule_202512.xlsx</t>
      </text>
    </comment>
    <comment ref="D27" authorId="0" shapeId="0">
      <text>
        <t>Loan: Wells Fargo, AMORTIZING. Source: Meiborg_Debt_Schedule_202512.xlsx</t>
      </text>
    </comment>
    <comment ref="D28" authorId="0" shapeId="0">
      <text>
        <t>Loan: Wells Fargo, AMORTIZING. Source: Meiborg_Debt_Schedule_202512.xlsx</t>
      </text>
    </comment>
    <comment ref="D29" authorId="0" shapeId="0">
      <text>
        <t>Loan: Wells Fargo, AMORTIZING. Source: Meiborg_Debt_Schedule_202512.xlsx</t>
      </text>
    </comment>
    <comment ref="D30" authorId="0" shapeId="0">
      <text>
        <t>Loan: Wells Fargo, AMORTIZING. Source: Meiborg_Debt_Schedule_202512.xlsx</t>
      </text>
    </comment>
    <comment ref="D31" authorId="0" shapeId="0">
      <text>
        <t>Loan: Wells Fargo, AMORTIZING. Source: Meiborg_Debt_Schedule_202512.xlsx</t>
      </text>
    </comment>
    <comment ref="D32" authorId="0" shapeId="0">
      <text>
        <t>Loan: Wells Fargo, AMORTIZING. Source: Meiborg_Debt_Schedule_202512.xlsx</t>
      </text>
    </comment>
    <comment ref="D33" authorId="0" shapeId="0">
      <text>
        <t>Loan: Wells Fargo, AMORTIZING. Source: Meiborg_Debt_Schedule_202512.xlsx</t>
      </text>
    </comment>
    <comment ref="D34" authorId="0" shapeId="0">
      <text>
        <t>Loan: Wells Fargo, AMORTIZING. Source: Meiborg_Debt_Schedule_202512.xlsx</t>
      </text>
    </comment>
    <comment ref="C39" authorId="0" shapeId="0">
      <text>
        <t>Sum of rows 23-34: Monthly interest</t>
      </text>
    </comment>
    <comment ref="D39" authorId="0" shapeId="0">
      <text>
        <t>Sum of rows 23-34: Monthly principal</t>
      </text>
    </comment>
    <comment ref="B42" authorId="0" shapeId="0">
      <text>
        <t>Links to: Debt Schedule - Wells Fargo _Wells_3</t>
      </text>
    </comment>
  </commentList>
</comments>
</file>

<file path=xl/comments/comment72.xml><?xml version="1.0" encoding="utf-8"?>
<comments xmlns="http://schemas.openxmlformats.org/spreadsheetml/2006/main">
  <authors>
    <author>Model Builder</author>
  </authors>
  <commentList>
    <comment ref="B2" authorId="0" shapeId="0">
      <text>
        <t>Source: Meiborg_Debt_Schedule_202512.xlsx
Extracted: 2025-12-31</t>
      </text>
    </comment>
    <comment ref="B3" authorId="0" shapeId="0">
      <text>
        <t>Source: Meiborg_Debt_Schedule_202512.xlsx
Extracted: 2025-12-31</t>
      </text>
    </comment>
    <comment ref="B4" authorId="0" shapeId="0">
      <text>
        <t>Source: Meiborg_Debt_Schedule_202512.xlsx
Extracted: 2025-12-31</t>
      </text>
    </comment>
    <comment ref="B5" authorId="0" shapeId="0">
      <text>
        <t>Source: Meiborg_Debt_Schedule_202512.xlsx
Extracted: 2025-12-31</t>
      </text>
    </comment>
    <comment ref="B6" authorId="0" shapeId="0">
      <text>
        <t>Source: Meiborg_Debt_Schedule_202512.xlsx
Extracted: 2025-12-31</t>
      </text>
    </comment>
    <comment ref="B7" authorId="0" shapeId="0">
      <text>
        <t>Source: Meiborg_Debt_Schedule_202512.xlsx
Extracted: 2025-12-31</t>
      </text>
    </comment>
    <comment ref="B8" authorId="0" shapeId="0">
      <text>
        <t>Source: Meiborg_Debt_Schedule_202512.xlsx
Extracted: 2025-12-31</t>
      </text>
    </comment>
    <comment ref="B9" authorId="0" shapeId="0">
      <text>
        <t>Source: Meiborg_Debt_Schedule_202512.xlsx
Extracted: 2025-12-31</t>
      </text>
    </comment>
    <comment ref="B10" authorId="0" shapeId="0">
      <text>
        <t>Source: Meiborg_Debt_Schedule_202512.xlsx
Extracted: 2025-12-31</t>
      </text>
    </comment>
    <comment ref="B11" authorId="0" shapeId="0">
      <text>
        <t>Source: Meiborg_Debt_Schedule_202512.xlsx
Extracted: 2025-12-31</t>
      </text>
    </comment>
    <comment ref="B12" authorId="0" shapeId="0">
      <text>
        <t>Source: Meiborg_Debt_Schedule_202512.xlsx
Extracted: 2025-12-31</t>
      </text>
    </comment>
    <comment ref="B13" authorId="0" shapeId="0">
      <text>
        <t>Source: Meiborg_Debt_Schedule_202512.xlsx
Extracted: 2025-12-31</t>
      </text>
    </comment>
    <comment ref="D23" authorId="0" shapeId="0">
      <text>
        <t>Loan: Huntington, AMORTIZING. Source: Meiborg_Debt_Schedule_202512.xlsx</t>
      </text>
    </comment>
    <comment ref="D24" authorId="0" shapeId="0">
      <text>
        <t>Loan: Huntington, AMORTIZING. Source: Meiborg_Debt_Schedule_202512.xlsx</t>
      </text>
    </comment>
    <comment ref="D25" authorId="0" shapeId="0">
      <text>
        <t>Loan: Huntington, AMORTIZING. Source: Meiborg_Debt_Schedule_202512.xlsx</t>
      </text>
    </comment>
    <comment ref="D26" authorId="0" shapeId="0">
      <text>
        <t>Loan: Huntington, AMORTIZING. Source: Meiborg_Debt_Schedule_202512.xlsx</t>
      </text>
    </comment>
    <comment ref="D27" authorId="0" shapeId="0">
      <text>
        <t>Loan: Huntington, AMORTIZING. Source: Meiborg_Debt_Schedule_202512.xlsx</t>
      </text>
    </comment>
    <comment ref="D28" authorId="0" shapeId="0">
      <text>
        <t>Loan: Huntington, AMORTIZING. Source: Meiborg_Debt_Schedule_202512.xlsx</t>
      </text>
    </comment>
    <comment ref="D29" authorId="0" shapeId="0">
      <text>
        <t>Loan: Huntington, AMORTIZING. Source: Meiborg_Debt_Schedule_202512.xlsx</t>
      </text>
    </comment>
    <comment ref="D30" authorId="0" shapeId="0">
      <text>
        <t>Loan: Huntington, AMORTIZING. Source: Meiborg_Debt_Schedule_202512.xlsx</t>
      </text>
    </comment>
    <comment ref="D31" authorId="0" shapeId="0">
      <text>
        <t>Loan: Huntington, AMORTIZING. Source: Meiborg_Debt_Schedule_202512.xlsx</t>
      </text>
    </comment>
    <comment ref="D32" authorId="0" shapeId="0">
      <text>
        <t>Loan: Huntington, AMORTIZING. Source: Meiborg_Debt_Schedule_202512.xlsx</t>
      </text>
    </comment>
    <comment ref="D33" authorId="0" shapeId="0">
      <text>
        <t>Loan: Huntington, AMORTIZING. Source: Meiborg_Debt_Schedule_202512.xlsx</t>
      </text>
    </comment>
    <comment ref="D34" authorId="0" shapeId="0">
      <text>
        <t>Loan: Huntington, AMORTIZING. Source: Meiborg_Debt_Schedule_202512.xlsx</t>
      </text>
    </comment>
    <comment ref="D35" authorId="0" shapeId="0">
      <text>
        <t>Loan: Huntington, AMORTIZING. Source: Meiborg_Debt_Schedule_202512.xlsx</t>
      </text>
    </comment>
    <comment ref="D36" authorId="0" shapeId="0">
      <text>
        <t>Loan: Huntington, AMORTIZING. Source: Meiborg_Debt_Schedule_202512.xlsx</t>
      </text>
    </comment>
    <comment ref="D37" authorId="0" shapeId="0">
      <text>
        <t>Loan: Huntington, AMORTIZING. Source: Meiborg_Debt_Schedule_202512.xlsx</t>
      </text>
    </comment>
    <comment ref="D38" authorId="0" shapeId="0">
      <text>
        <t>Loan: Huntington, AMORTIZING. Source: Meiborg_Debt_Schedule_202512.xlsx</t>
      </text>
    </comment>
    <comment ref="D39" authorId="0" shapeId="0">
      <text>
        <t>Loan: Huntington, AMORTIZING. Source: Meiborg_Debt_Schedule_202512.xlsx</t>
      </text>
    </comment>
    <comment ref="D40" authorId="0" shapeId="0">
      <text>
        <t>Loan: Huntington, AMORTIZING. Source: Meiborg_Debt_Schedule_202512.xlsx</t>
      </text>
    </comment>
    <comment ref="D41" authorId="0" shapeId="0">
      <text>
        <t>Loan: Huntington, AMORTIZING. Source: Meiborg_Debt_Schedule_202512.xlsx</t>
      </text>
    </comment>
    <comment ref="D42" authorId="0" shapeId="0">
      <text>
        <t>Loan: Huntington, AMORTIZING. Source: Meiborg_Debt_Schedule_202512.xlsx</t>
      </text>
    </comment>
    <comment ref="D43" authorId="0" shapeId="0">
      <text>
        <t>Loan: Huntington, AMORTIZING. Source: Meiborg_Debt_Schedule_202512.xlsx</t>
      </text>
    </comment>
    <comment ref="D44" authorId="0" shapeId="0">
      <text>
        <t>Loan: Huntington, AMORTIZING. Source: Meiborg_Debt_Schedule_202512.xlsx</t>
      </text>
    </comment>
    <comment ref="D45" authorId="0" shapeId="0">
      <text>
        <t>Loan: Huntington, AMORTIZING. Source: Meiborg_Debt_Schedule_202512.xlsx</t>
      </text>
    </comment>
    <comment ref="D46" authorId="0" shapeId="0">
      <text>
        <t>Loan: Huntington, AMORTIZING. Source: Meiborg_Debt_Schedule_202512.xlsx</t>
      </text>
    </comment>
    <comment ref="D47" authorId="0" shapeId="0">
      <text>
        <t>Loan: Huntington, AMORTIZING. Source: Meiborg_Debt_Schedule_202512.xlsx</t>
      </text>
    </comment>
    <comment ref="D48" authorId="0" shapeId="0">
      <text>
        <t>Loan: Huntington, AMORTIZING. Source: Meiborg_Debt_Schedule_202512.xlsx</t>
      </text>
    </comment>
    <comment ref="D49" authorId="0" shapeId="0">
      <text>
        <t>Loan: Huntington, AMORTIZING. Source: Meiborg_Debt_Schedule_202512.xlsx</t>
      </text>
    </comment>
    <comment ref="C54" authorId="0" shapeId="0">
      <text>
        <t>Sum of rows 23-34: Monthly interest</t>
      </text>
    </comment>
    <comment ref="D54" authorId="0" shapeId="0">
      <text>
        <t>Sum of rows 23-34: Monthly principal</t>
      </text>
    </comment>
    <comment ref="C55" authorId="0" shapeId="0">
      <text>
        <t>Sum of rows 35-46: Monthly interest</t>
      </text>
    </comment>
    <comment ref="D55" authorId="0" shapeId="0">
      <text>
        <t>Sum of rows 35-46: Monthly principal</t>
      </text>
    </comment>
    <comment ref="C56" authorId="0" shapeId="0">
      <text>
        <t>Sum of rows 47-49: Monthly interest</t>
      </text>
    </comment>
    <comment ref="D56" authorId="0" shapeId="0">
      <text>
        <t>Sum of rows 47-49: Monthly principal</t>
      </text>
    </comment>
    <comment ref="B59" authorId="0" shapeId="0">
      <text>
        <t>Links to: Debt Schedule - Huntington _Huntington_1</t>
      </text>
    </comment>
  </commentList>
</comments>
</file>

<file path=xl/comments/comment73.xml><?xml version="1.0" encoding="utf-8"?>
<comments xmlns="http://schemas.openxmlformats.org/spreadsheetml/2006/main">
  <authors>
    <author>Model Builder</author>
  </authors>
  <commentList>
    <comment ref="B2" authorId="0" shapeId="0">
      <text>
        <t>Source: Meiborg_Debt_Schedule_202512.xlsx
Extracted: 2025-12-31</t>
      </text>
    </comment>
    <comment ref="B3" authorId="0" shapeId="0">
      <text>
        <t>Source: Meiborg_Debt_Schedule_202512.xlsx
Extracted: 2025-12-31</t>
      </text>
    </comment>
    <comment ref="B4" authorId="0" shapeId="0">
      <text>
        <t>Source: Meiborg_Debt_Schedule_202512.xlsx
Extracted: 2025-12-31</t>
      </text>
    </comment>
    <comment ref="B5" authorId="0" shapeId="0">
      <text>
        <t>Source: Meiborg_Debt_Schedule_202512.xlsx
Extracted: 2025-12-31</t>
      </text>
    </comment>
    <comment ref="B6" authorId="0" shapeId="0">
      <text>
        <t>Source: Meiborg_Debt_Schedule_202512.xlsx
Extracted: 2025-12-31</t>
      </text>
    </comment>
    <comment ref="B7" authorId="0" shapeId="0">
      <text>
        <t>Source: Meiborg_Debt_Schedule_202512.xlsx
Extracted: 2025-12-31</t>
      </text>
    </comment>
    <comment ref="B8" authorId="0" shapeId="0">
      <text>
        <t>Source: Meiborg_Debt_Schedule_202512.xlsx
Extracted: 2025-12-31</t>
      </text>
    </comment>
    <comment ref="B9" authorId="0" shapeId="0">
      <text>
        <t>Source: Meiborg_Debt_Schedule_202512.xlsx
Extracted: 2025-12-31</t>
      </text>
    </comment>
    <comment ref="B10" authorId="0" shapeId="0">
      <text>
        <t>Source: Meiborg_Debt_Schedule_202512.xlsx
Extracted: 2025-12-31</t>
      </text>
    </comment>
    <comment ref="B11" authorId="0" shapeId="0">
      <text>
        <t>Source: Meiborg_Debt_Schedule_202512.xlsx
Extracted: 2025-12-31</t>
      </text>
    </comment>
    <comment ref="B12" authorId="0" shapeId="0">
      <text>
        <t>Source: Meiborg_Debt_Schedule_202512.xlsx
Extracted: 2025-12-31</t>
      </text>
    </comment>
    <comment ref="B13" authorId="0" shapeId="0">
      <text>
        <t>Source: Meiborg_Debt_Schedule_202512.xlsx
Extracted: 2025-12-31</t>
      </text>
    </comment>
    <comment ref="D23" authorId="0" shapeId="0">
      <text>
        <t>Loan: Huntington, AMORTIZING. Source: Meiborg_Debt_Schedule_202512.xlsx</t>
      </text>
    </comment>
    <comment ref="D24" authorId="0" shapeId="0">
      <text>
        <t>Loan: Huntington, AMORTIZING. Source: Meiborg_Debt_Schedule_202512.xlsx</t>
      </text>
    </comment>
    <comment ref="D25" authorId="0" shapeId="0">
      <text>
        <t>Loan: Huntington, AMORTIZING. Source: Meiborg_Debt_Schedule_202512.xlsx</t>
      </text>
    </comment>
    <comment ref="D26" authorId="0" shapeId="0">
      <text>
        <t>Loan: Huntington, AMORTIZING. Source: Meiborg_Debt_Schedule_202512.xlsx</t>
      </text>
    </comment>
    <comment ref="D27" authorId="0" shapeId="0">
      <text>
        <t>Loan: Huntington, AMORTIZING. Source: Meiborg_Debt_Schedule_202512.xlsx</t>
      </text>
    </comment>
    <comment ref="D28" authorId="0" shapeId="0">
      <text>
        <t>Loan: Huntington, AMORTIZING. Source: Meiborg_Debt_Schedule_202512.xlsx</t>
      </text>
    </comment>
    <comment ref="D29" authorId="0" shapeId="0">
      <text>
        <t>Loan: Huntington, AMORTIZING. Source: Meiborg_Debt_Schedule_202512.xlsx</t>
      </text>
    </comment>
    <comment ref="D30" authorId="0" shapeId="0">
      <text>
        <t>Loan: Huntington, AMORTIZING. Source: Meiborg_Debt_Schedule_202512.xlsx</t>
      </text>
    </comment>
    <comment ref="D31" authorId="0" shapeId="0">
      <text>
        <t>Loan: Huntington, AMORTIZING. Source: Meiborg_Debt_Schedule_202512.xlsx</t>
      </text>
    </comment>
    <comment ref="D32" authorId="0" shapeId="0">
      <text>
        <t>Loan: Huntington, AMORTIZING. Source: Meiborg_Debt_Schedule_202512.xlsx</t>
      </text>
    </comment>
    <comment ref="D33" authorId="0" shapeId="0">
      <text>
        <t>Loan: Huntington, AMORTIZING. Source: Meiborg_Debt_Schedule_202512.xlsx</t>
      </text>
    </comment>
    <comment ref="D34" authorId="0" shapeId="0">
      <text>
        <t>Loan: Huntington, AMORTIZING. Source: Meiborg_Debt_Schedule_202512.xlsx</t>
      </text>
    </comment>
    <comment ref="D35" authorId="0" shapeId="0">
      <text>
        <t>Loan: Huntington, AMORTIZING. Source: Meiborg_Debt_Schedule_202512.xlsx</t>
      </text>
    </comment>
    <comment ref="D36" authorId="0" shapeId="0">
      <text>
        <t>Loan: Huntington, AMORTIZING. Source: Meiborg_Debt_Schedule_202512.xlsx</t>
      </text>
    </comment>
    <comment ref="D37" authorId="0" shapeId="0">
      <text>
        <t>Loan: Huntington, AMORTIZING. Source: Meiborg_Debt_Schedule_202512.xlsx</t>
      </text>
    </comment>
    <comment ref="D38" authorId="0" shapeId="0">
      <text>
        <t>Loan: Huntington, AMORTIZING. Source: Meiborg_Debt_Schedule_202512.xlsx</t>
      </text>
    </comment>
    <comment ref="D39" authorId="0" shapeId="0">
      <text>
        <t>Loan: Huntington, AMORTIZING. Source: Meiborg_Debt_Schedule_202512.xlsx</t>
      </text>
    </comment>
    <comment ref="D40" authorId="0" shapeId="0">
      <text>
        <t>Loan: Huntington, AMORTIZING. Source: Meiborg_Debt_Schedule_202512.xlsx</t>
      </text>
    </comment>
    <comment ref="D41" authorId="0" shapeId="0">
      <text>
        <t>Loan: Huntington, AMORTIZING. Source: Meiborg_Debt_Schedule_202512.xlsx</t>
      </text>
    </comment>
    <comment ref="D42" authorId="0" shapeId="0">
      <text>
        <t>Loan: Huntington, AMORTIZING. Source: Meiborg_Debt_Schedule_202512.xlsx</t>
      </text>
    </comment>
    <comment ref="D43" authorId="0" shapeId="0">
      <text>
        <t>Loan: Huntington, AMORTIZING. Source: Meiborg_Debt_Schedule_202512.xlsx</t>
      </text>
    </comment>
    <comment ref="D44" authorId="0" shapeId="0">
      <text>
        <t>Loan: Huntington, AMORTIZING. Source: Meiborg_Debt_Schedule_202512.xlsx</t>
      </text>
    </comment>
    <comment ref="D45" authorId="0" shapeId="0">
      <text>
        <t>Loan: Huntington, AMORTIZING. Source: Meiborg_Debt_Schedule_202512.xlsx</t>
      </text>
    </comment>
    <comment ref="D46" authorId="0" shapeId="0">
      <text>
        <t>Loan: Huntington, AMORTIZING. Source: Meiborg_Debt_Schedule_202512.xlsx</t>
      </text>
    </comment>
    <comment ref="D47" authorId="0" shapeId="0">
      <text>
        <t>Loan: Huntington, AMORTIZING. Source: Meiborg_Debt_Schedule_202512.xlsx</t>
      </text>
    </comment>
    <comment ref="D48" authorId="0" shapeId="0">
      <text>
        <t>Loan: Huntington, AMORTIZING. Source: Meiborg_Debt_Schedule_202512.xlsx</t>
      </text>
    </comment>
    <comment ref="D49" authorId="0" shapeId="0">
      <text>
        <t>Loan: Huntington, AMORTIZING. Source: Meiborg_Debt_Schedule_202512.xlsx</t>
      </text>
    </comment>
    <comment ref="D50" authorId="0" shapeId="0">
      <text>
        <t>Loan: Huntington, AMORTIZING. Source: Meiborg_Debt_Schedule_202512.xlsx</t>
      </text>
    </comment>
    <comment ref="D51" authorId="0" shapeId="0">
      <text>
        <t>Loan: Huntington, AMORTIZING. Source: Meiborg_Debt_Schedule_202512.xlsx</t>
      </text>
    </comment>
    <comment ref="D52" authorId="0" shapeId="0">
      <text>
        <t>Loan: Huntington, AMORTIZING. Source: Meiborg_Debt_Schedule_202512.xlsx</t>
      </text>
    </comment>
    <comment ref="D53" authorId="0" shapeId="0">
      <text>
        <t>Loan: Huntington, AMORTIZING. Source: Meiborg_Debt_Schedule_202512.xlsx</t>
      </text>
    </comment>
    <comment ref="D54" authorId="0" shapeId="0">
      <text>
        <t>Loan: Huntington, AMORTIZING. Source: Meiborg_Debt_Schedule_202512.xlsx</t>
      </text>
    </comment>
    <comment ref="D55" authorId="0" shapeId="0">
      <text>
        <t>Loan: Huntington, AMORTIZING. Source: Meiborg_Debt_Schedule_202512.xlsx</t>
      </text>
    </comment>
    <comment ref="D56" authorId="0" shapeId="0">
      <text>
        <t>Loan: Huntington, AMORTIZING. Source: Meiborg_Debt_Schedule_202512.xlsx</t>
      </text>
    </comment>
    <comment ref="D57" authorId="0" shapeId="0">
      <text>
        <t>Loan: Huntington, AMORTIZING. Source: Meiborg_Debt_Schedule_202512.xlsx</t>
      </text>
    </comment>
    <comment ref="D58" authorId="0" shapeId="0">
      <text>
        <t>Loan: Huntington, AMORTIZING. Source: Meiborg_Debt_Schedule_202512.xlsx</t>
      </text>
    </comment>
    <comment ref="D59" authorId="0" shapeId="0">
      <text>
        <t>Loan: Huntington, AMORTIZING. Source: Meiborg_Debt_Schedule_202512.xlsx</t>
      </text>
    </comment>
    <comment ref="D60" authorId="0" shapeId="0">
      <text>
        <t>Loan: Huntington, AMORTIZING. Source: Meiborg_Debt_Schedule_202512.xlsx</t>
      </text>
    </comment>
    <comment ref="D61" authorId="0" shapeId="0">
      <text>
        <t>Loan: Huntington, AMORTIZING. Source: Meiborg_Debt_Schedule_202512.xlsx</t>
      </text>
    </comment>
    <comment ref="D62" authorId="0" shapeId="0">
      <text>
        <t>Loan: Huntington, AMORTIZING. Source: Meiborg_Debt_Schedule_202512.xlsx</t>
      </text>
    </comment>
    <comment ref="D63" authorId="0" shapeId="0">
      <text>
        <t>Loan: Huntington, AMORTIZING. Source: Meiborg_Debt_Schedule_202512.xlsx</t>
      </text>
    </comment>
    <comment ref="D64" authorId="0" shapeId="0">
      <text>
        <t>Loan: Huntington, AMORTIZING. Source: Meiborg_Debt_Schedule_202512.xlsx</t>
      </text>
    </comment>
    <comment ref="D65" authorId="0" shapeId="0">
      <text>
        <t>Loan: Huntington, AMORTIZING. Source: Meiborg_Debt_Schedule_202512.xlsx</t>
      </text>
    </comment>
    <comment ref="D66" authorId="0" shapeId="0">
      <text>
        <t>Loan: Huntington, AMORTIZING. Source: Meiborg_Debt_Schedule_202512.xlsx</t>
      </text>
    </comment>
    <comment ref="D67" authorId="0" shapeId="0">
      <text>
        <t>Loan: Huntington, AMORTIZING. Source: Meiborg_Debt_Schedule_202512.xlsx</t>
      </text>
    </comment>
    <comment ref="C72" authorId="0" shapeId="0">
      <text>
        <t>Sum of rows 23-34: Monthly interest</t>
      </text>
    </comment>
    <comment ref="D72" authorId="0" shapeId="0">
      <text>
        <t>Sum of rows 23-34: Monthly principal</t>
      </text>
    </comment>
    <comment ref="C73" authorId="0" shapeId="0">
      <text>
        <t>Sum of rows 35-46: Monthly interest</t>
      </text>
    </comment>
    <comment ref="D73" authorId="0" shapeId="0">
      <text>
        <t>Sum of rows 35-46: Monthly principal</t>
      </text>
    </comment>
    <comment ref="C74" authorId="0" shapeId="0">
      <text>
        <t>Sum of rows 47-58: Monthly interest</t>
      </text>
    </comment>
    <comment ref="D74" authorId="0" shapeId="0">
      <text>
        <t>Sum of rows 47-58: Monthly principal</t>
      </text>
    </comment>
    <comment ref="C75" authorId="0" shapeId="0">
      <text>
        <t>Sum of rows 59-67: Monthly interest</t>
      </text>
    </comment>
    <comment ref="D75" authorId="0" shapeId="0">
      <text>
        <t>Sum of rows 59-67: Monthly principal</t>
      </text>
    </comment>
    <comment ref="B78" authorId="0" shapeId="0">
      <text>
        <t>Links to: Debt Schedule - Huntington _Huntington_2</t>
      </text>
    </comment>
  </commentList>
</comments>
</file>

<file path=xl/comments/comment74.xml><?xml version="1.0" encoding="utf-8"?>
<comments xmlns="http://schemas.openxmlformats.org/spreadsheetml/2006/main">
  <authors>
    <author>Model Builder</author>
  </authors>
  <commentList>
    <comment ref="B2" authorId="0" shapeId="0">
      <text>
        <t>Source: Meiborg_Debt_Schedule_202512.xlsx
Extracted: 2025-12-31</t>
      </text>
    </comment>
    <comment ref="B3" authorId="0" shapeId="0">
      <text>
        <t>Source: Meiborg_Debt_Schedule_202512.xlsx
Extracted: 2025-12-31</t>
      </text>
    </comment>
    <comment ref="B4" authorId="0" shapeId="0">
      <text>
        <t>Source: Meiborg_Debt_Schedule_202512.xlsx
Extracted: 2025-12-31</t>
      </text>
    </comment>
    <comment ref="B5" authorId="0" shapeId="0">
      <text>
        <t>Source: Meiborg_Debt_Schedule_202512.xlsx
Extracted: 2025-12-31</t>
      </text>
    </comment>
    <comment ref="B6" authorId="0" shapeId="0">
      <text>
        <t>Source: Meiborg_Debt_Schedule_202512.xlsx
Extracted: 2025-12-31</t>
      </text>
    </comment>
    <comment ref="B7" authorId="0" shapeId="0">
      <text>
        <t>Source: Meiborg_Debt_Schedule_202512.xlsx
Extracted: 2025-12-31</t>
      </text>
    </comment>
    <comment ref="B8" authorId="0" shapeId="0">
      <text>
        <t>Source: Meiborg_Debt_Schedule_202512.xlsx
Extracted: 2025-12-31</t>
      </text>
    </comment>
    <comment ref="B9" authorId="0" shapeId="0">
      <text>
        <t>Source: Meiborg_Debt_Schedule_202512.xlsx
Extracted: 2025-12-31</t>
      </text>
    </comment>
    <comment ref="B10" authorId="0" shapeId="0">
      <text>
        <t>Source: Meiborg_Debt_Schedule_202512.xlsx
Extracted: 2025-12-31</t>
      </text>
    </comment>
    <comment ref="B11" authorId="0" shapeId="0">
      <text>
        <t>Source: Meiborg_Debt_Schedule_202512.xlsx
Extracted: 2025-12-31</t>
      </text>
    </comment>
    <comment ref="B12" authorId="0" shapeId="0">
      <text>
        <t>Source: Meiborg_Debt_Schedule_202512.xlsx
Extracted: 2025-12-31</t>
      </text>
    </comment>
    <comment ref="B13" authorId="0" shapeId="0">
      <text>
        <t>Source: Meiborg_Debt_Schedule_202512.xlsx
Extracted: 2025-12-31</t>
      </text>
    </comment>
    <comment ref="D23" authorId="0" shapeId="0">
      <text>
        <t>Loan: Huntington, AMORTIZING. Source: Meiborg_Debt_Schedule_202512.xlsx</t>
      </text>
    </comment>
    <comment ref="D24" authorId="0" shapeId="0">
      <text>
        <t>Loan: Huntington, AMORTIZING. Source: Meiborg_Debt_Schedule_202512.xlsx</t>
      </text>
    </comment>
    <comment ref="D25" authorId="0" shapeId="0">
      <text>
        <t>Loan: Huntington, AMORTIZING. Source: Meiborg_Debt_Schedule_202512.xlsx</t>
      </text>
    </comment>
    <comment ref="D26" authorId="0" shapeId="0">
      <text>
        <t>Loan: Huntington, AMORTIZING. Source: Meiborg_Debt_Schedule_202512.xlsx</t>
      </text>
    </comment>
    <comment ref="D27" authorId="0" shapeId="0">
      <text>
        <t>Loan: Huntington, AMORTIZING. Source: Meiborg_Debt_Schedule_202512.xlsx</t>
      </text>
    </comment>
    <comment ref="D28" authorId="0" shapeId="0">
      <text>
        <t>Loan: Huntington, AMORTIZING. Source: Meiborg_Debt_Schedule_202512.xlsx</t>
      </text>
    </comment>
    <comment ref="D29" authorId="0" shapeId="0">
      <text>
        <t>Loan: Huntington, AMORTIZING. Source: Meiborg_Debt_Schedule_202512.xlsx</t>
      </text>
    </comment>
    <comment ref="D30" authorId="0" shapeId="0">
      <text>
        <t>Loan: Huntington, AMORTIZING. Source: Meiborg_Debt_Schedule_202512.xlsx</t>
      </text>
    </comment>
    <comment ref="D31" authorId="0" shapeId="0">
      <text>
        <t>Loan: Huntington, AMORTIZING. Source: Meiborg_Debt_Schedule_202512.xlsx</t>
      </text>
    </comment>
    <comment ref="D32" authorId="0" shapeId="0">
      <text>
        <t>Loan: Huntington, AMORTIZING. Source: Meiborg_Debt_Schedule_202512.xlsx</t>
      </text>
    </comment>
    <comment ref="D33" authorId="0" shapeId="0">
      <text>
        <t>Loan: Huntington, AMORTIZING. Source: Meiborg_Debt_Schedule_202512.xlsx</t>
      </text>
    </comment>
    <comment ref="D34" authorId="0" shapeId="0">
      <text>
        <t>Loan: Huntington, AMORTIZING. Source: Meiborg_Debt_Schedule_202512.xlsx</t>
      </text>
    </comment>
    <comment ref="D35" authorId="0" shapeId="0">
      <text>
        <t>Loan: Huntington, AMORTIZING. Source: Meiborg_Debt_Schedule_202512.xlsx</t>
      </text>
    </comment>
    <comment ref="D36" authorId="0" shapeId="0">
      <text>
        <t>Loan: Huntington, AMORTIZING. Source: Meiborg_Debt_Schedule_202512.xlsx</t>
      </text>
    </comment>
    <comment ref="D37" authorId="0" shapeId="0">
      <text>
        <t>Loan: Huntington, AMORTIZING. Source: Meiborg_Debt_Schedule_202512.xlsx</t>
      </text>
    </comment>
    <comment ref="D38" authorId="0" shapeId="0">
      <text>
        <t>Loan: Huntington, AMORTIZING. Source: Meiborg_Debt_Schedule_202512.xlsx</t>
      </text>
    </comment>
    <comment ref="D39" authorId="0" shapeId="0">
      <text>
        <t>Loan: Huntington, AMORTIZING. Source: Meiborg_Debt_Schedule_202512.xlsx</t>
      </text>
    </comment>
    <comment ref="D40" authorId="0" shapeId="0">
      <text>
        <t>Loan: Huntington, AMORTIZING. Source: Meiborg_Debt_Schedule_202512.xlsx</t>
      </text>
    </comment>
    <comment ref="D41" authorId="0" shapeId="0">
      <text>
        <t>Loan: Huntington, AMORTIZING. Source: Meiborg_Debt_Schedule_202512.xlsx</t>
      </text>
    </comment>
    <comment ref="D42" authorId="0" shapeId="0">
      <text>
        <t>Loan: Huntington, AMORTIZING. Source: Meiborg_Debt_Schedule_202512.xlsx</t>
      </text>
    </comment>
    <comment ref="D43" authorId="0" shapeId="0">
      <text>
        <t>Loan: Huntington, AMORTIZING. Source: Meiborg_Debt_Schedule_202512.xlsx</t>
      </text>
    </comment>
    <comment ref="D44" authorId="0" shapeId="0">
      <text>
        <t>Loan: Huntington, AMORTIZING. Source: Meiborg_Debt_Schedule_202512.xlsx</t>
      </text>
    </comment>
    <comment ref="D45" authorId="0" shapeId="0">
      <text>
        <t>Loan: Huntington, AMORTIZING. Source: Meiborg_Debt_Schedule_202512.xlsx</t>
      </text>
    </comment>
    <comment ref="D46" authorId="0" shapeId="0">
      <text>
        <t>Loan: Huntington, AMORTIZING. Source: Meiborg_Debt_Schedule_202512.xlsx</t>
      </text>
    </comment>
    <comment ref="D47" authorId="0" shapeId="0">
      <text>
        <t>Loan: Huntington, AMORTIZING. Source: Meiborg_Debt_Schedule_202512.xlsx</t>
      </text>
    </comment>
    <comment ref="D48" authorId="0" shapeId="0">
      <text>
        <t>Loan: Huntington, AMORTIZING. Source: Meiborg_Debt_Schedule_202512.xlsx</t>
      </text>
    </comment>
    <comment ref="D49" authorId="0" shapeId="0">
      <text>
        <t>Loan: Huntington, AMORTIZING. Source: Meiborg_Debt_Schedule_202512.xlsx</t>
      </text>
    </comment>
    <comment ref="D50" authorId="0" shapeId="0">
      <text>
        <t>Loan: Huntington, AMORTIZING. Source: Meiborg_Debt_Schedule_202512.xlsx</t>
      </text>
    </comment>
    <comment ref="D51" authorId="0" shapeId="0">
      <text>
        <t>Loan: Huntington, AMORTIZING. Source: Meiborg_Debt_Schedule_202512.xlsx</t>
      </text>
    </comment>
    <comment ref="C56" authorId="0" shapeId="0">
      <text>
        <t>Sum of rows 23-34: Monthly interest</t>
      </text>
    </comment>
    <comment ref="D56" authorId="0" shapeId="0">
      <text>
        <t>Sum of rows 23-34: Monthly principal</t>
      </text>
    </comment>
    <comment ref="C57" authorId="0" shapeId="0">
      <text>
        <t>Sum of rows 35-46: Monthly interest</t>
      </text>
    </comment>
    <comment ref="D57" authorId="0" shapeId="0">
      <text>
        <t>Sum of rows 35-46: Monthly principal</t>
      </text>
    </comment>
    <comment ref="C58" authorId="0" shapeId="0">
      <text>
        <t>Sum of rows 47-51: Monthly interest</t>
      </text>
    </comment>
    <comment ref="D58" authorId="0" shapeId="0">
      <text>
        <t>Sum of rows 47-51: Monthly principal</t>
      </text>
    </comment>
    <comment ref="B61" authorId="0" shapeId="0">
      <text>
        <t>Links to: Debt Schedule - Huntington _Huntington_3</t>
      </text>
    </comment>
  </commentList>
</comments>
</file>

<file path=xl/comments/comment75.xml><?xml version="1.0" encoding="utf-8"?>
<comments xmlns="http://schemas.openxmlformats.org/spreadsheetml/2006/main">
  <authors>
    <author>Model Builder</author>
  </authors>
  <commentList>
    <comment ref="B2" authorId="0" shapeId="0">
      <text>
        <t>Source: Meiborg_Debt_Schedule_202512.xlsx
Extracted: 2025-12-31</t>
      </text>
    </comment>
    <comment ref="B3" authorId="0" shapeId="0">
      <text>
        <t>Source: Meiborg_Debt_Schedule_202512.xlsx
Extracted: 2025-12-31</t>
      </text>
    </comment>
    <comment ref="B4" authorId="0" shapeId="0">
      <text>
        <t>Source: Meiborg_Debt_Schedule_202512.xlsx
Extracted: 2025-12-31</t>
      </text>
    </comment>
    <comment ref="B5" authorId="0" shapeId="0">
      <text>
        <t>Source: Meiborg_Debt_Schedule_202512.xlsx
Extracted: 2025-12-31</t>
      </text>
    </comment>
    <comment ref="B6" authorId="0" shapeId="0">
      <text>
        <t>Source: Meiborg_Debt_Schedule_202512.xlsx
Extracted: 2025-12-31</t>
      </text>
    </comment>
    <comment ref="B7" authorId="0" shapeId="0">
      <text>
        <t>Source: Meiborg_Debt_Schedule_202512.xlsx
Extracted: 2025-12-31</t>
      </text>
    </comment>
    <comment ref="B8" authorId="0" shapeId="0">
      <text>
        <t>Source: Meiborg_Debt_Schedule_202512.xlsx
Extracted: 2025-12-31</t>
      </text>
    </comment>
    <comment ref="B9" authorId="0" shapeId="0">
      <text>
        <t>Source: Meiborg_Debt_Schedule_202512.xlsx
Extracted: 2025-12-31</t>
      </text>
    </comment>
    <comment ref="B10" authorId="0" shapeId="0">
      <text>
        <t>Source: Meiborg_Debt_Schedule_202512.xlsx
Extracted: 2025-12-31</t>
      </text>
    </comment>
    <comment ref="B11" authorId="0" shapeId="0">
      <text>
        <t>Source: Meiborg_Debt_Schedule_202512.xlsx
Extracted: 2025-12-31</t>
      </text>
    </comment>
    <comment ref="B12" authorId="0" shapeId="0">
      <text>
        <t>Source: Meiborg_Debt_Schedule_202512.xlsx
Extracted: 2025-12-31</t>
      </text>
    </comment>
    <comment ref="B13" authorId="0" shapeId="0">
      <text>
        <t>Source: Meiborg_Debt_Schedule_202512.xlsx
Extracted: 2025-12-31</t>
      </text>
    </comment>
    <comment ref="D23" authorId="0" shapeId="0">
      <text>
        <t>Loan: Huntington, AMORTIZING. Source: Meiborg_Debt_Schedule_202512.xlsx</t>
      </text>
    </comment>
    <comment ref="D24" authorId="0" shapeId="0">
      <text>
        <t>Loan: Huntington, AMORTIZING. Source: Meiborg_Debt_Schedule_202512.xlsx</t>
      </text>
    </comment>
    <comment ref="D25" authorId="0" shapeId="0">
      <text>
        <t>Loan: Huntington, AMORTIZING. Source: Meiborg_Debt_Schedule_202512.xlsx</t>
      </text>
    </comment>
    <comment ref="D26" authorId="0" shapeId="0">
      <text>
        <t>Loan: Huntington, AMORTIZING. Source: Meiborg_Debt_Schedule_202512.xlsx</t>
      </text>
    </comment>
    <comment ref="D27" authorId="0" shapeId="0">
      <text>
        <t>Loan: Huntington, AMORTIZING. Source: Meiborg_Debt_Schedule_202512.xlsx</t>
      </text>
    </comment>
    <comment ref="D28" authorId="0" shapeId="0">
      <text>
        <t>Loan: Huntington, AMORTIZING. Source: Meiborg_Debt_Schedule_202512.xlsx</t>
      </text>
    </comment>
    <comment ref="D29" authorId="0" shapeId="0">
      <text>
        <t>Loan: Huntington, AMORTIZING. Source: Meiborg_Debt_Schedule_202512.xlsx</t>
      </text>
    </comment>
    <comment ref="D30" authorId="0" shapeId="0">
      <text>
        <t>Loan: Huntington, AMORTIZING. Source: Meiborg_Debt_Schedule_202512.xlsx</t>
      </text>
    </comment>
    <comment ref="D31" authorId="0" shapeId="0">
      <text>
        <t>Loan: Huntington, AMORTIZING. Source: Meiborg_Debt_Schedule_202512.xlsx</t>
      </text>
    </comment>
    <comment ref="D32" authorId="0" shapeId="0">
      <text>
        <t>Loan: Huntington, AMORTIZING. Source: Meiborg_Debt_Schedule_202512.xlsx</t>
      </text>
    </comment>
    <comment ref="D33" authorId="0" shapeId="0">
      <text>
        <t>Loan: Huntington, AMORTIZING. Source: Meiborg_Debt_Schedule_202512.xlsx</t>
      </text>
    </comment>
    <comment ref="D34" authorId="0" shapeId="0">
      <text>
        <t>Loan: Huntington, AMORTIZING. Source: Meiborg_Debt_Schedule_202512.xlsx</t>
      </text>
    </comment>
    <comment ref="D35" authorId="0" shapeId="0">
      <text>
        <t>Loan: Huntington, AMORTIZING. Source: Meiborg_Debt_Schedule_202512.xlsx</t>
      </text>
    </comment>
    <comment ref="D36" authorId="0" shapeId="0">
      <text>
        <t>Loan: Huntington, AMORTIZING. Source: Meiborg_Debt_Schedule_202512.xlsx</t>
      </text>
    </comment>
    <comment ref="D37" authorId="0" shapeId="0">
      <text>
        <t>Loan: Huntington, AMORTIZING. Source: Meiborg_Debt_Schedule_202512.xlsx</t>
      </text>
    </comment>
    <comment ref="D38" authorId="0" shapeId="0">
      <text>
        <t>Loan: Huntington, AMORTIZING. Source: Meiborg_Debt_Schedule_202512.xlsx</t>
      </text>
    </comment>
    <comment ref="D39" authorId="0" shapeId="0">
      <text>
        <t>Loan: Huntington, AMORTIZING. Source: Meiborg_Debt_Schedule_202512.xlsx</t>
      </text>
    </comment>
    <comment ref="D40" authorId="0" shapeId="0">
      <text>
        <t>Loan: Huntington, AMORTIZING. Source: Meiborg_Debt_Schedule_202512.xlsx</t>
      </text>
    </comment>
    <comment ref="D41" authorId="0" shapeId="0">
      <text>
        <t>Loan: Huntington, AMORTIZING. Source: Meiborg_Debt_Schedule_202512.xlsx</t>
      </text>
    </comment>
    <comment ref="D42" authorId="0" shapeId="0">
      <text>
        <t>Loan: Huntington, AMORTIZING. Source: Meiborg_Debt_Schedule_202512.xlsx</t>
      </text>
    </comment>
    <comment ref="D43" authorId="0" shapeId="0">
      <text>
        <t>Loan: Huntington, AMORTIZING. Source: Meiborg_Debt_Schedule_202512.xlsx</t>
      </text>
    </comment>
    <comment ref="D44" authorId="0" shapeId="0">
      <text>
        <t>Loan: Huntington, AMORTIZING. Source: Meiborg_Debt_Schedule_202512.xlsx</t>
      </text>
    </comment>
    <comment ref="D45" authorId="0" shapeId="0">
      <text>
        <t>Loan: Huntington, AMORTIZING. Source: Meiborg_Debt_Schedule_202512.xlsx</t>
      </text>
    </comment>
    <comment ref="D46" authorId="0" shapeId="0">
      <text>
        <t>Loan: Huntington, AMORTIZING. Source: Meiborg_Debt_Schedule_202512.xlsx</t>
      </text>
    </comment>
    <comment ref="D47" authorId="0" shapeId="0">
      <text>
        <t>Loan: Huntington, AMORTIZING. Source: Meiborg_Debt_Schedule_202512.xlsx</t>
      </text>
    </comment>
    <comment ref="D48" authorId="0" shapeId="0">
      <text>
        <t>Loan: Huntington, AMORTIZING. Source: Meiborg_Debt_Schedule_202512.xlsx</t>
      </text>
    </comment>
    <comment ref="D49" authorId="0" shapeId="0">
      <text>
        <t>Loan: Huntington, AMORTIZING. Source: Meiborg_Debt_Schedule_202512.xlsx</t>
      </text>
    </comment>
    <comment ref="D50" authorId="0" shapeId="0">
      <text>
        <t>Loan: Huntington, AMORTIZING. Source: Meiborg_Debt_Schedule_202512.xlsx</t>
      </text>
    </comment>
    <comment ref="D51" authorId="0" shapeId="0">
      <text>
        <t>Loan: Huntington, AMORTIZING. Source: Meiborg_Debt_Schedule_202512.xlsx</t>
      </text>
    </comment>
    <comment ref="C56" authorId="0" shapeId="0">
      <text>
        <t>Sum of rows 23-34: Monthly interest</t>
      </text>
    </comment>
    <comment ref="D56" authorId="0" shapeId="0">
      <text>
        <t>Sum of rows 23-34: Monthly principal</t>
      </text>
    </comment>
    <comment ref="C57" authorId="0" shapeId="0">
      <text>
        <t>Sum of rows 35-46: Monthly interest</t>
      </text>
    </comment>
    <comment ref="D57" authorId="0" shapeId="0">
      <text>
        <t>Sum of rows 35-46: Monthly principal</t>
      </text>
    </comment>
    <comment ref="C58" authorId="0" shapeId="0">
      <text>
        <t>Sum of rows 47-51: Monthly interest</t>
      </text>
    </comment>
    <comment ref="D58" authorId="0" shapeId="0">
      <text>
        <t>Sum of rows 47-51: Monthly principal</t>
      </text>
    </comment>
    <comment ref="B61" authorId="0" shapeId="0">
      <text>
        <t>Links to: Debt Schedule - Huntington _Huntington_4</t>
      </text>
    </comment>
  </commentList>
</comments>
</file>

<file path=xl/comments/comment76.xml><?xml version="1.0" encoding="utf-8"?>
<comments xmlns="http://schemas.openxmlformats.org/spreadsheetml/2006/main">
  <authors>
    <author>Model Builder</author>
  </authors>
  <commentList>
    <comment ref="B2" authorId="0" shapeId="0">
      <text>
        <t>Source: Meiborg_Debt_Schedule_202512.xlsx
Extracted: 2025-12-31</t>
      </text>
    </comment>
    <comment ref="B3" authorId="0" shapeId="0">
      <text>
        <t>Source: Meiborg_Debt_Schedule_202512.xlsx
Extracted: 2025-12-31</t>
      </text>
    </comment>
    <comment ref="B4" authorId="0" shapeId="0">
      <text>
        <t>Source: Meiborg_Debt_Schedule_202512.xlsx
Extracted: 2025-12-31</t>
      </text>
    </comment>
    <comment ref="B5" authorId="0" shapeId="0">
      <text>
        <t>Source: Meiborg_Debt_Schedule_202512.xlsx
Extracted: 2025-12-31</t>
      </text>
    </comment>
    <comment ref="B6" authorId="0" shapeId="0">
      <text>
        <t>Source: Meiborg_Debt_Schedule_202512.xlsx
Extracted: 2025-12-31</t>
      </text>
    </comment>
    <comment ref="B7" authorId="0" shapeId="0">
      <text>
        <t>Source: Meiborg_Debt_Schedule_202512.xlsx
Extracted: 2025-12-31</t>
      </text>
    </comment>
    <comment ref="B8" authorId="0" shapeId="0">
      <text>
        <t>Source: Meiborg_Debt_Schedule_202512.xlsx
Extracted: 2025-12-31</t>
      </text>
    </comment>
    <comment ref="B9" authorId="0" shapeId="0">
      <text>
        <t>Source: Meiborg_Debt_Schedule_202512.xlsx
Extracted: 2025-12-31</t>
      </text>
    </comment>
    <comment ref="B10" authorId="0" shapeId="0">
      <text>
        <t>Source: Meiborg_Debt_Schedule_202512.xlsx
Extracted: 2025-12-31</t>
      </text>
    </comment>
    <comment ref="B11" authorId="0" shapeId="0">
      <text>
        <t>Source: Meiborg_Debt_Schedule_202512.xlsx
Extracted: 2025-12-31</t>
      </text>
    </comment>
    <comment ref="B12" authorId="0" shapeId="0">
      <text>
        <t>Source: Meiborg_Debt_Schedule_202512.xlsx
Extracted: 2025-12-31</t>
      </text>
    </comment>
    <comment ref="B13" authorId="0" shapeId="0">
      <text>
        <t>Source: Meiborg_Debt_Schedule_202512.xlsx
Extracted: 2025-12-31</t>
      </text>
    </comment>
    <comment ref="D23" authorId="0" shapeId="0">
      <text>
        <t>Loan: Huntington, AMORTIZING. Source: Meiborg_Debt_Schedule_202512.xlsx</t>
      </text>
    </comment>
    <comment ref="D24" authorId="0" shapeId="0">
      <text>
        <t>Loan: Huntington, AMORTIZING. Source: Meiborg_Debt_Schedule_202512.xlsx</t>
      </text>
    </comment>
    <comment ref="D25" authorId="0" shapeId="0">
      <text>
        <t>Loan: Huntington, AMORTIZING. Source: Meiborg_Debt_Schedule_202512.xlsx</t>
      </text>
    </comment>
    <comment ref="D26" authorId="0" shapeId="0">
      <text>
        <t>Loan: Huntington, AMORTIZING. Source: Meiborg_Debt_Schedule_202512.xlsx</t>
      </text>
    </comment>
    <comment ref="D27" authorId="0" shapeId="0">
      <text>
        <t>Loan: Huntington, AMORTIZING. Source: Meiborg_Debt_Schedule_202512.xlsx</t>
      </text>
    </comment>
    <comment ref="D28" authorId="0" shapeId="0">
      <text>
        <t>Loan: Huntington, AMORTIZING. Source: Meiborg_Debt_Schedule_202512.xlsx</t>
      </text>
    </comment>
    <comment ref="D29" authorId="0" shapeId="0">
      <text>
        <t>Loan: Huntington, AMORTIZING. Source: Meiborg_Debt_Schedule_202512.xlsx</t>
      </text>
    </comment>
    <comment ref="D30" authorId="0" shapeId="0">
      <text>
        <t>Loan: Huntington, AMORTIZING. Source: Meiborg_Debt_Schedule_202512.xlsx</t>
      </text>
    </comment>
    <comment ref="D31" authorId="0" shapeId="0">
      <text>
        <t>Loan: Huntington, AMORTIZING. Source: Meiborg_Debt_Schedule_202512.xlsx</t>
      </text>
    </comment>
    <comment ref="D32" authorId="0" shapeId="0">
      <text>
        <t>Loan: Huntington, AMORTIZING. Source: Meiborg_Debt_Schedule_202512.xlsx</t>
      </text>
    </comment>
    <comment ref="D33" authorId="0" shapeId="0">
      <text>
        <t>Loan: Huntington, AMORTIZING. Source: Meiborg_Debt_Schedule_202512.xlsx</t>
      </text>
    </comment>
    <comment ref="D34" authorId="0" shapeId="0">
      <text>
        <t>Loan: Huntington, AMORTIZING. Source: Meiborg_Debt_Schedule_202512.xlsx</t>
      </text>
    </comment>
    <comment ref="D35" authorId="0" shapeId="0">
      <text>
        <t>Loan: Huntington, AMORTIZING. Source: Meiborg_Debt_Schedule_202512.xlsx</t>
      </text>
    </comment>
    <comment ref="D36" authorId="0" shapeId="0">
      <text>
        <t>Loan: Huntington, AMORTIZING. Source: Meiborg_Debt_Schedule_202512.xlsx</t>
      </text>
    </comment>
    <comment ref="D37" authorId="0" shapeId="0">
      <text>
        <t>Loan: Huntington, AMORTIZING. Source: Meiborg_Debt_Schedule_202512.xlsx</t>
      </text>
    </comment>
    <comment ref="D38" authorId="0" shapeId="0">
      <text>
        <t>Loan: Huntington, AMORTIZING. Source: Meiborg_Debt_Schedule_202512.xlsx</t>
      </text>
    </comment>
    <comment ref="D39" authorId="0" shapeId="0">
      <text>
        <t>Loan: Huntington, AMORTIZING. Source: Meiborg_Debt_Schedule_202512.xlsx</t>
      </text>
    </comment>
    <comment ref="D40" authorId="0" shapeId="0">
      <text>
        <t>Loan: Huntington, AMORTIZING. Source: Meiborg_Debt_Schedule_202512.xlsx</t>
      </text>
    </comment>
    <comment ref="D41" authorId="0" shapeId="0">
      <text>
        <t>Loan: Huntington, AMORTIZING. Source: Meiborg_Debt_Schedule_202512.xlsx</t>
      </text>
    </comment>
    <comment ref="D42" authorId="0" shapeId="0">
      <text>
        <t>Loan: Huntington, AMORTIZING. Source: Meiborg_Debt_Schedule_202512.xlsx</t>
      </text>
    </comment>
    <comment ref="D43" authorId="0" shapeId="0">
      <text>
        <t>Loan: Huntington, AMORTIZING. Source: Meiborg_Debt_Schedule_202512.xlsx</t>
      </text>
    </comment>
    <comment ref="D44" authorId="0" shapeId="0">
      <text>
        <t>Loan: Huntington, AMORTIZING. Source: Meiborg_Debt_Schedule_202512.xlsx</t>
      </text>
    </comment>
    <comment ref="D45" authorId="0" shapeId="0">
      <text>
        <t>Loan: Huntington, AMORTIZING. Source: Meiborg_Debt_Schedule_202512.xlsx</t>
      </text>
    </comment>
    <comment ref="D46" authorId="0" shapeId="0">
      <text>
        <t>Loan: Huntington, AMORTIZING. Source: Meiborg_Debt_Schedule_202512.xlsx</t>
      </text>
    </comment>
    <comment ref="D47" authorId="0" shapeId="0">
      <text>
        <t>Loan: Huntington, AMORTIZING. Source: Meiborg_Debt_Schedule_202512.xlsx</t>
      </text>
    </comment>
    <comment ref="D48" authorId="0" shapeId="0">
      <text>
        <t>Loan: Huntington, AMORTIZING. Source: Meiborg_Debt_Schedule_202512.xlsx</t>
      </text>
    </comment>
    <comment ref="D49" authorId="0" shapeId="0">
      <text>
        <t>Loan: Huntington, AMORTIZING. Source: Meiborg_Debt_Schedule_202512.xlsx</t>
      </text>
    </comment>
    <comment ref="D50" authorId="0" shapeId="0">
      <text>
        <t>Loan: Huntington, AMORTIZING. Source: Meiborg_Debt_Schedule_202512.xlsx</t>
      </text>
    </comment>
    <comment ref="D51" authorId="0" shapeId="0">
      <text>
        <t>Loan: Huntington, AMORTIZING. Source: Meiborg_Debt_Schedule_202512.xlsx</t>
      </text>
    </comment>
    <comment ref="D52" authorId="0" shapeId="0">
      <text>
        <t>Loan: Huntington, AMORTIZING. Source: Meiborg_Debt_Schedule_202512.xlsx</t>
      </text>
    </comment>
    <comment ref="C57" authorId="0" shapeId="0">
      <text>
        <t>Sum of rows 23-34: Monthly interest</t>
      </text>
    </comment>
    <comment ref="D57" authorId="0" shapeId="0">
      <text>
        <t>Sum of rows 23-34: Monthly principal</t>
      </text>
    </comment>
    <comment ref="C58" authorId="0" shapeId="0">
      <text>
        <t>Sum of rows 35-46: Monthly interest</t>
      </text>
    </comment>
    <comment ref="D58" authorId="0" shapeId="0">
      <text>
        <t>Sum of rows 35-46: Monthly principal</t>
      </text>
    </comment>
    <comment ref="C59" authorId="0" shapeId="0">
      <text>
        <t>Sum of rows 47-52: Monthly interest</t>
      </text>
    </comment>
    <comment ref="D59" authorId="0" shapeId="0">
      <text>
        <t>Sum of rows 47-52: Monthly principal</t>
      </text>
    </comment>
    <comment ref="B62" authorId="0" shapeId="0">
      <text>
        <t>Links to: Debt Schedule - Huntington _Huntington_5</t>
      </text>
    </comment>
  </commentList>
</comments>
</file>

<file path=xl/comments/comment77.xml><?xml version="1.0" encoding="utf-8"?>
<comments xmlns="http://schemas.openxmlformats.org/spreadsheetml/2006/main">
  <authors>
    <author>Model Builder</author>
  </authors>
  <commentList>
    <comment ref="B12" authorId="0" shapeId="0">
      <text>
        <t>Source: loans.md - Loan 79
Current balance as of 12/31/2025.</t>
      </text>
    </comment>
    <comment ref="B13" authorId="0" shapeId="0">
      <text>
        <t>Fixed-fee arrangement - 0% interest. Payments reduce principal only.</t>
      </text>
    </comment>
    <comment ref="B14" authorId="0" shapeId="0">
      <text>
        <t>Source: loans.md - Loan 79
Fixed monthly fee - entire amount reduces principal.</t>
      </text>
    </comment>
    <comment ref="C26" authorId="0" shapeId="0">
      <text>
        <t>Loan: Constellation, FIXED_FEE. Source: loans.md - Loan 79</t>
      </text>
    </comment>
    <comment ref="D26" authorId="0" shapeId="0">
      <text>
        <t>Fixed-fee structure: 0% interest - no interest expense.</t>
      </text>
    </comment>
    <comment ref="E26" authorId="0" shapeId="0">
      <text>
        <t>Principal = full payment amount (fixed fee), capped at remaining balance.</t>
      </text>
    </comment>
    <comment ref="F26" authorId="0" shapeId="0">
      <text>
        <t>Closing = Opening - Principal. MAX(0,...) prevents negative.</t>
      </text>
    </comment>
    <comment ref="C27" authorId="0" shapeId="0">
      <text>
        <t>Loan: Constellation, FIXED_FEE. Source: loans.md - Loan 79</t>
      </text>
    </comment>
    <comment ref="D27" authorId="0" shapeId="0">
      <text>
        <t>Fixed-fee structure: 0% interest - no interest expense.</t>
      </text>
    </comment>
    <comment ref="E27" authorId="0" shapeId="0">
      <text>
        <t>Principal = full payment amount (fixed fee), capped at remaining balance.</t>
      </text>
    </comment>
    <comment ref="F27" authorId="0" shapeId="0">
      <text>
        <t>Closing = Opening - Principal. MAX(0,...) prevents negative.</t>
      </text>
    </comment>
    <comment ref="C28" authorId="0" shapeId="0">
      <text>
        <t>Loan: Constellation, FIXED_FEE. Source: loans.md - Loan 79</t>
      </text>
    </comment>
    <comment ref="D28" authorId="0" shapeId="0">
      <text>
        <t>Fixed-fee structure: 0% interest - no interest expense.</t>
      </text>
    </comment>
    <comment ref="E28" authorId="0" shapeId="0">
      <text>
        <t>Principal = full payment amount (fixed fee), capped at remaining balance.</t>
      </text>
    </comment>
    <comment ref="F28" authorId="0" shapeId="0">
      <text>
        <t>Closing = Opening - Principal. MAX(0,...) prevents negative.</t>
      </text>
    </comment>
    <comment ref="C29" authorId="0" shapeId="0">
      <text>
        <t>Loan: Constellation, FIXED_FEE. Source: loans.md - Loan 79</t>
      </text>
    </comment>
    <comment ref="D29" authorId="0" shapeId="0">
      <text>
        <t>Fixed-fee structure: 0% interest - no interest expense.</t>
      </text>
    </comment>
    <comment ref="E29" authorId="0" shapeId="0">
      <text>
        <t>Principal = full payment amount (fixed fee), capped at remaining balance.</t>
      </text>
    </comment>
    <comment ref="F29" authorId="0" shapeId="0">
      <text>
        <t>Closing = Opening - Principal. MAX(0,...) prevents negative.</t>
      </text>
    </comment>
    <comment ref="C30" authorId="0" shapeId="0">
      <text>
        <t>Loan: Constellation, FIXED_FEE. Source: loans.md - Loan 79</t>
      </text>
    </comment>
    <comment ref="D30" authorId="0" shapeId="0">
      <text>
        <t>Fixed-fee structure: 0% interest - no interest expense.</t>
      </text>
    </comment>
    <comment ref="E30" authorId="0" shapeId="0">
      <text>
        <t>Principal = full payment amount (fixed fee), capped at remaining balance.</t>
      </text>
    </comment>
    <comment ref="F30" authorId="0" shapeId="0">
      <text>
        <t>Closing = Opening - Principal. MAX(0,...) prevents negative.</t>
      </text>
    </comment>
    <comment ref="C31" authorId="0" shapeId="0">
      <text>
        <t>Loan: Constellation, FIXED_FEE. Source: loans.md - Loan 79</t>
      </text>
    </comment>
    <comment ref="D31" authorId="0" shapeId="0">
      <text>
        <t>Fixed-fee structure: 0% interest - no interest expense.</t>
      </text>
    </comment>
    <comment ref="E31" authorId="0" shapeId="0">
      <text>
        <t>Principal = full payment amount (fixed fee), capped at remaining balance.</t>
      </text>
    </comment>
    <comment ref="F31" authorId="0" shapeId="0">
      <text>
        <t>Closing = Opening - Principal. MAX(0,...) prevents negative.</t>
      </text>
    </comment>
    <comment ref="C32" authorId="0" shapeId="0">
      <text>
        <t>Loan: Constellation, FIXED_FEE. Source: loans.md - Loan 79</t>
      </text>
    </comment>
    <comment ref="D32" authorId="0" shapeId="0">
      <text>
        <t>Fixed-fee structure: 0% interest - no interest expense.</t>
      </text>
    </comment>
    <comment ref="E32" authorId="0" shapeId="0">
      <text>
        <t>Principal = full payment amount (fixed fee), capped at remaining balance.</t>
      </text>
    </comment>
    <comment ref="F32" authorId="0" shapeId="0">
      <text>
        <t>Closing = Opening - Principal. MAX(0,...) prevents negative.</t>
      </text>
    </comment>
    <comment ref="C33" authorId="0" shapeId="0">
      <text>
        <t>Loan: Constellation, FIXED_FEE. Source: loans.md - Loan 79</t>
      </text>
    </comment>
    <comment ref="D33" authorId="0" shapeId="0">
      <text>
        <t>Fixed-fee structure: 0% interest - no interest expense.</t>
      </text>
    </comment>
    <comment ref="E33" authorId="0" shapeId="0">
      <text>
        <t>Principal = full payment amount (fixed fee), capped at remaining balance.</t>
      </text>
    </comment>
    <comment ref="F33" authorId="0" shapeId="0">
      <text>
        <t>Closing = Opening - Principal. MAX(0,...) prevents negative.</t>
      </text>
    </comment>
    <comment ref="C34" authorId="0" shapeId="0">
      <text>
        <t>Loan: Constellation, FIXED_FEE. Source: loans.md - Loan 79</t>
      </text>
    </comment>
    <comment ref="D34" authorId="0" shapeId="0">
      <text>
        <t>Fixed-fee structure: 0% interest - no interest expense.</t>
      </text>
    </comment>
    <comment ref="E34" authorId="0" shapeId="0">
      <text>
        <t>Principal = full payment amount (fixed fee), capped at remaining balance.</t>
      </text>
    </comment>
    <comment ref="F34" authorId="0" shapeId="0">
      <text>
        <t>Closing = Opening - Principal. MAX(0,...) prevents negative.</t>
      </text>
    </comment>
    <comment ref="C35" authorId="0" shapeId="0">
      <text>
        <t>Loan: Constellation, FIXED_FEE. Source: loans.md - Loan 79</t>
      </text>
    </comment>
    <comment ref="D35" authorId="0" shapeId="0">
      <text>
        <t>Fixed-fee structure: 0% interest - no interest expense.</t>
      </text>
    </comment>
    <comment ref="E35" authorId="0" shapeId="0">
      <text>
        <t>Principal = full payment amount (fixed fee), capped at remaining balance.</t>
      </text>
    </comment>
    <comment ref="F35" authorId="0" shapeId="0">
      <text>
        <t>Closing = Opening - Principal. MAX(0,...) prevents negative.</t>
      </text>
    </comment>
    <comment ref="C36" authorId="0" shapeId="0">
      <text>
        <t>Loan: Constellation, FIXED_FEE. Source: loans.md - Loan 79</t>
      </text>
    </comment>
    <comment ref="D36" authorId="0" shapeId="0">
      <text>
        <t>Fixed-fee structure: 0% interest - no interest expense.</t>
      </text>
    </comment>
    <comment ref="E36" authorId="0" shapeId="0">
      <text>
        <t>Principal = full payment amount (fixed fee), capped at remaining balance.</t>
      </text>
    </comment>
    <comment ref="F36" authorId="0" shapeId="0">
      <text>
        <t>Closing = Opening - Principal. MAX(0,...) prevents negative.</t>
      </text>
    </comment>
    <comment ref="C37" authorId="0" shapeId="0">
      <text>
        <t>Loan: Constellation, FIXED_FEE. Source: loans.md - Loan 79</t>
      </text>
    </comment>
    <comment ref="D37" authorId="0" shapeId="0">
      <text>
        <t>Fixed-fee structure: 0% interest - no interest expense.</t>
      </text>
    </comment>
    <comment ref="E37" authorId="0" shapeId="0">
      <text>
        <t>Principal = full payment amount (fixed fee), capped at remaining balance.</t>
      </text>
    </comment>
    <comment ref="F37" authorId="0" shapeId="0">
      <text>
        <t>Closing = Opening - Principal. MAX(0,...) prevents negative.</t>
      </text>
    </comment>
    <comment ref="C38" authorId="0" shapeId="0">
      <text>
        <t>Loan: Constellation, FIXED_FEE. Source: loans.md - Loan 79</t>
      </text>
    </comment>
    <comment ref="D38" authorId="0" shapeId="0">
      <text>
        <t>Fixed-fee structure: 0% interest - no interest expense.</t>
      </text>
    </comment>
    <comment ref="E38" authorId="0" shapeId="0">
      <text>
        <t>Principal = full payment amount (fixed fee), capped at remaining balance.</t>
      </text>
    </comment>
    <comment ref="F38" authorId="0" shapeId="0">
      <text>
        <t>Closing = Opening - Principal. MAX(0,...) prevents negative.</t>
      </text>
    </comment>
    <comment ref="C39" authorId="0" shapeId="0">
      <text>
        <t>Loan: Constellation, FIXED_FEE. Source: loans.md - Loan 79</t>
      </text>
    </comment>
    <comment ref="D39" authorId="0" shapeId="0">
      <text>
        <t>Fixed-fee structure: 0% interest - no interest expense.</t>
      </text>
    </comment>
    <comment ref="E39" authorId="0" shapeId="0">
      <text>
        <t>Principal = full payment amount (fixed fee), capped at remaining balance.</t>
      </text>
    </comment>
    <comment ref="F39" authorId="0" shapeId="0">
      <text>
        <t>Closing = Opening - Principal. MAX(0,...) prevents negative.</t>
      </text>
    </comment>
    <comment ref="C40" authorId="0" shapeId="0">
      <text>
        <t>Loan: Constellation, FIXED_FEE. Source: loans.md - Loan 79</t>
      </text>
    </comment>
    <comment ref="D40" authorId="0" shapeId="0">
      <text>
        <t>Fixed-fee structure: 0% interest - no interest expense.</t>
      </text>
    </comment>
    <comment ref="E40" authorId="0" shapeId="0">
      <text>
        <t>Principal = full payment amount (fixed fee), capped at remaining balance.</t>
      </text>
    </comment>
    <comment ref="F40" authorId="0" shapeId="0">
      <text>
        <t>Closing = Opening - Principal. MAX(0,...) prevents negative.</t>
      </text>
    </comment>
    <comment ref="C44" authorId="0" shapeId="0">
      <text>
        <t>Year-end balance for 2026.</t>
      </text>
    </comment>
    <comment ref="D44" authorId="0" shapeId="0">
      <text>
        <t>Total interest expense for 2026. Fixed-fee = $0.</t>
      </text>
    </comment>
    <comment ref="E44" authorId="0" shapeId="0">
      <text>
        <t>Total principal paid for 2026.</t>
      </text>
    </comment>
    <comment ref="C45" authorId="0" shapeId="0">
      <text>
        <t>Year-end balance for 2027.</t>
      </text>
    </comment>
    <comment ref="D45" authorId="0" shapeId="0">
      <text>
        <t>Total interest expense for 2027. Fixed-fee = $0.</t>
      </text>
    </comment>
    <comment ref="E45" authorId="0" shapeId="0">
      <text>
        <t>Total principal paid for 2027.</t>
      </text>
    </comment>
    <comment ref="B47" authorId="0" shapeId="0">
      <text>
        <t>Links to: assumption block row 12 — Opening Balance.</t>
      </text>
    </comment>
  </commentList>
</comments>
</file>

<file path=xl/comments/comment78.xml><?xml version="1.0" encoding="utf-8"?>
<comments xmlns="http://schemas.openxmlformats.org/spreadsheetml/2006/main">
  <authors>
    <author>Model Builder</author>
  </authors>
  <commentList>
    <comment ref="B12" authorId="0" shapeId="0">
      <text>
        <t>Source: loans.md - Loan 80
Current balance as of 12/31/2025.</t>
      </text>
    </comment>
    <comment ref="B13" authorId="0" shapeId="0">
      <text>
        <t>Fixed-fee arrangement - 0% interest. Payments reduce principal only.</t>
      </text>
    </comment>
    <comment ref="B14" authorId="0" shapeId="0">
      <text>
        <t>Source: loans.md - Loan 80
Fixed monthly fee - entire amount reduces principal.</t>
      </text>
    </comment>
    <comment ref="C26" authorId="0" shapeId="0">
      <text>
        <t>Loan: Constellation, FIXED_FEE. Source: loans.md - Loan 80</t>
      </text>
    </comment>
    <comment ref="D26" authorId="0" shapeId="0">
      <text>
        <t>Fixed-fee structure: 0% interest - no interest expense.</t>
      </text>
    </comment>
    <comment ref="E26" authorId="0" shapeId="0">
      <text>
        <t>Principal = full payment amount (fixed fee), capped at remaining balance.</t>
      </text>
    </comment>
    <comment ref="F26" authorId="0" shapeId="0">
      <text>
        <t>Closing = Opening - Principal. MAX(0,...) prevents negative.</t>
      </text>
    </comment>
    <comment ref="C27" authorId="0" shapeId="0">
      <text>
        <t>Loan: Constellation, FIXED_FEE. Source: loans.md - Loan 80</t>
      </text>
    </comment>
    <comment ref="D27" authorId="0" shapeId="0">
      <text>
        <t>Fixed-fee structure: 0% interest - no interest expense.</t>
      </text>
    </comment>
    <comment ref="E27" authorId="0" shapeId="0">
      <text>
        <t>Principal = full payment amount (fixed fee), capped at remaining balance.</t>
      </text>
    </comment>
    <comment ref="F27" authorId="0" shapeId="0">
      <text>
        <t>Closing = Opening - Principal. MAX(0,...) prevents negative.</t>
      </text>
    </comment>
    <comment ref="C28" authorId="0" shapeId="0">
      <text>
        <t>Loan: Constellation, FIXED_FEE. Source: loans.md - Loan 80</t>
      </text>
    </comment>
    <comment ref="D28" authorId="0" shapeId="0">
      <text>
        <t>Fixed-fee structure: 0% interest - no interest expense.</t>
      </text>
    </comment>
    <comment ref="E28" authorId="0" shapeId="0">
      <text>
        <t>Principal = full payment amount (fixed fee), capped at remaining balance.</t>
      </text>
    </comment>
    <comment ref="F28" authorId="0" shapeId="0">
      <text>
        <t>Closing = Opening - Principal. MAX(0,...) prevents negative.</t>
      </text>
    </comment>
    <comment ref="C29" authorId="0" shapeId="0">
      <text>
        <t>Loan: Constellation, FIXED_FEE. Source: loans.md - Loan 80</t>
      </text>
    </comment>
    <comment ref="D29" authorId="0" shapeId="0">
      <text>
        <t>Fixed-fee structure: 0% interest - no interest expense.</t>
      </text>
    </comment>
    <comment ref="E29" authorId="0" shapeId="0">
      <text>
        <t>Principal = full payment amount (fixed fee), capped at remaining balance.</t>
      </text>
    </comment>
    <comment ref="F29" authorId="0" shapeId="0">
      <text>
        <t>Closing = Opening - Principal. MAX(0,...) prevents negative.</t>
      </text>
    </comment>
    <comment ref="C30" authorId="0" shapeId="0">
      <text>
        <t>Loan: Constellation, FIXED_FEE. Source: loans.md - Loan 80</t>
      </text>
    </comment>
    <comment ref="D30" authorId="0" shapeId="0">
      <text>
        <t>Fixed-fee structure: 0% interest - no interest expense.</t>
      </text>
    </comment>
    <comment ref="E30" authorId="0" shapeId="0">
      <text>
        <t>Principal = full payment amount (fixed fee), capped at remaining balance.</t>
      </text>
    </comment>
    <comment ref="F30" authorId="0" shapeId="0">
      <text>
        <t>Closing = Opening - Principal. MAX(0,...) prevents negative.</t>
      </text>
    </comment>
    <comment ref="C31" authorId="0" shapeId="0">
      <text>
        <t>Loan: Constellation, FIXED_FEE. Source: loans.md - Loan 80</t>
      </text>
    </comment>
    <comment ref="D31" authorId="0" shapeId="0">
      <text>
        <t>Fixed-fee structure: 0% interest - no interest expense.</t>
      </text>
    </comment>
    <comment ref="E31" authorId="0" shapeId="0">
      <text>
        <t>Principal = full payment amount (fixed fee), capped at remaining balance.</t>
      </text>
    </comment>
    <comment ref="F31" authorId="0" shapeId="0">
      <text>
        <t>Closing = Opening - Principal. MAX(0,...) prevents negative.</t>
      </text>
    </comment>
    <comment ref="C32" authorId="0" shapeId="0">
      <text>
        <t>Loan: Constellation, FIXED_FEE. Source: loans.md - Loan 80</t>
      </text>
    </comment>
    <comment ref="D32" authorId="0" shapeId="0">
      <text>
        <t>Fixed-fee structure: 0% interest - no interest expense.</t>
      </text>
    </comment>
    <comment ref="E32" authorId="0" shapeId="0">
      <text>
        <t>Principal = full payment amount (fixed fee), capped at remaining balance.</t>
      </text>
    </comment>
    <comment ref="F32" authorId="0" shapeId="0">
      <text>
        <t>Closing = Opening - Principal. MAX(0,...) prevents negative.</t>
      </text>
    </comment>
    <comment ref="C33" authorId="0" shapeId="0">
      <text>
        <t>Loan: Constellation, FIXED_FEE. Source: loans.md - Loan 80</t>
      </text>
    </comment>
    <comment ref="D33" authorId="0" shapeId="0">
      <text>
        <t>Fixed-fee structure: 0% interest - no interest expense.</t>
      </text>
    </comment>
    <comment ref="E33" authorId="0" shapeId="0">
      <text>
        <t>Principal = full payment amount (fixed fee), capped at remaining balance.</t>
      </text>
    </comment>
    <comment ref="F33" authorId="0" shapeId="0">
      <text>
        <t>Closing = Opening - Principal. MAX(0,...) prevents negative.</t>
      </text>
    </comment>
    <comment ref="C34" authorId="0" shapeId="0">
      <text>
        <t>Loan: Constellation, FIXED_FEE. Source: loans.md - Loan 80</t>
      </text>
    </comment>
    <comment ref="D34" authorId="0" shapeId="0">
      <text>
        <t>Fixed-fee structure: 0% interest - no interest expense.</t>
      </text>
    </comment>
    <comment ref="E34" authorId="0" shapeId="0">
      <text>
        <t>Principal = full payment amount (fixed fee), capped at remaining balance.</t>
      </text>
    </comment>
    <comment ref="F34" authorId="0" shapeId="0">
      <text>
        <t>Closing = Opening - Principal. MAX(0,...) prevents negative.</t>
      </text>
    </comment>
    <comment ref="C35" authorId="0" shapeId="0">
      <text>
        <t>Loan: Constellation, FIXED_FEE. Source: loans.md - Loan 80</t>
      </text>
    </comment>
    <comment ref="D35" authorId="0" shapeId="0">
      <text>
        <t>Fixed-fee structure: 0% interest - no interest expense.</t>
      </text>
    </comment>
    <comment ref="E35" authorId="0" shapeId="0">
      <text>
        <t>Principal = full payment amount (fixed fee), capped at remaining balance.</t>
      </text>
    </comment>
    <comment ref="F35" authorId="0" shapeId="0">
      <text>
        <t>Closing = Opening - Principal. MAX(0,...) prevents negative.</t>
      </text>
    </comment>
    <comment ref="C36" authorId="0" shapeId="0">
      <text>
        <t>Loan: Constellation, FIXED_FEE. Source: loans.md - Loan 80</t>
      </text>
    </comment>
    <comment ref="D36" authorId="0" shapeId="0">
      <text>
        <t>Fixed-fee structure: 0% interest - no interest expense.</t>
      </text>
    </comment>
    <comment ref="E36" authorId="0" shapeId="0">
      <text>
        <t>Principal = full payment amount (fixed fee), capped at remaining balance.</t>
      </text>
    </comment>
    <comment ref="F36" authorId="0" shapeId="0">
      <text>
        <t>Closing = Opening - Principal. MAX(0,...) prevents negative.</t>
      </text>
    </comment>
    <comment ref="C37" authorId="0" shapeId="0">
      <text>
        <t>Loan: Constellation, FIXED_FEE. Source: loans.md - Loan 80</t>
      </text>
    </comment>
    <comment ref="D37" authorId="0" shapeId="0">
      <text>
        <t>Fixed-fee structure: 0% interest - no interest expense.</t>
      </text>
    </comment>
    <comment ref="E37" authorId="0" shapeId="0">
      <text>
        <t>Principal = full payment amount (fixed fee), capped at remaining balance.</t>
      </text>
    </comment>
    <comment ref="F37" authorId="0" shapeId="0">
      <text>
        <t>Closing = Opening - Principal. MAX(0,...) prevents negative.</t>
      </text>
    </comment>
    <comment ref="C38" authorId="0" shapeId="0">
      <text>
        <t>Loan: Constellation, FIXED_FEE. Source: loans.md - Loan 80</t>
      </text>
    </comment>
    <comment ref="D38" authorId="0" shapeId="0">
      <text>
        <t>Fixed-fee structure: 0% interest - no interest expense.</t>
      </text>
    </comment>
    <comment ref="E38" authorId="0" shapeId="0">
      <text>
        <t>Principal = full payment amount (fixed fee), capped at remaining balance.</t>
      </text>
    </comment>
    <comment ref="F38" authorId="0" shapeId="0">
      <text>
        <t>Closing = Opening - Principal. MAX(0,...) prevents negative.</t>
      </text>
    </comment>
    <comment ref="C39" authorId="0" shapeId="0">
      <text>
        <t>Loan: Constellation, FIXED_FEE. Source: loans.md - Loan 80</t>
      </text>
    </comment>
    <comment ref="D39" authorId="0" shapeId="0">
      <text>
        <t>Fixed-fee structure: 0% interest - no interest expense.</t>
      </text>
    </comment>
    <comment ref="E39" authorId="0" shapeId="0">
      <text>
        <t>Principal = full payment amount (fixed fee), capped at remaining balance.</t>
      </text>
    </comment>
    <comment ref="F39" authorId="0" shapeId="0">
      <text>
        <t>Closing = Opening - Principal. MAX(0,...) prevents negative.</t>
      </text>
    </comment>
    <comment ref="C40" authorId="0" shapeId="0">
      <text>
        <t>Loan: Constellation, FIXED_FEE. Source: loans.md - Loan 80</t>
      </text>
    </comment>
    <comment ref="D40" authorId="0" shapeId="0">
      <text>
        <t>Fixed-fee structure: 0% interest - no interest expense.</t>
      </text>
    </comment>
    <comment ref="E40" authorId="0" shapeId="0">
      <text>
        <t>Principal = full payment amount (fixed fee), capped at remaining balance.</t>
      </text>
    </comment>
    <comment ref="F40" authorId="0" shapeId="0">
      <text>
        <t>Closing = Opening - Principal. MAX(0,...) prevents negative.</t>
      </text>
    </comment>
    <comment ref="C44" authorId="0" shapeId="0">
      <text>
        <t>Year-end balance for 2026.</t>
      </text>
    </comment>
    <comment ref="D44" authorId="0" shapeId="0">
      <text>
        <t>Total interest expense for 2026. Fixed-fee = $0.</t>
      </text>
    </comment>
    <comment ref="E44" authorId="0" shapeId="0">
      <text>
        <t>Total principal paid for 2026.</t>
      </text>
    </comment>
    <comment ref="C45" authorId="0" shapeId="0">
      <text>
        <t>Year-end balance for 2027.</t>
      </text>
    </comment>
    <comment ref="D45" authorId="0" shapeId="0">
      <text>
        <t>Total interest expense for 2027. Fixed-fee = $0.</t>
      </text>
    </comment>
    <comment ref="E45" authorId="0" shapeId="0">
      <text>
        <t>Total principal paid for 2027.</t>
      </text>
    </comment>
    <comment ref="B47" authorId="0" shapeId="0">
      <text>
        <t>Links to: assumption block row 12 — Opening Balance.</t>
      </text>
    </comment>
  </commentList>
</comments>
</file>

<file path=xl/comments/comment79.xml><?xml version="1.0" encoding="utf-8"?>
<comments xmlns="http://schemas.openxmlformats.org/spreadsheetml/2006/main">
  <authors>
    <author>Model Builder</author>
  </authors>
  <commentList>
    <comment ref="B12" authorId="0" shapeId="0">
      <text>
        <t>Source: loans.md - Loan 81
Interest-only loan - principal remains constant until balloon payment.</t>
      </text>
    </comment>
    <comment ref="B13" authorId="0" shapeId="0">
      <text>
        <t>Source: loans.md - Loan 81</t>
      </text>
    </comment>
    <comment ref="B14" authorId="0" shapeId="0">
      <text>
        <t>Source: loans.md - Loan 81
Entire payment is interest expense - no principal reduction.</t>
      </text>
    </comment>
    <comment ref="C26" authorId="0" shapeId="0">
      <text>
        <t>Loan: Commonwealth, INTEREST_ONLY_BALLOON. Balance constant until balloon.</t>
      </text>
    </comment>
    <comment ref="D26" authorId="0" shapeId="0">
      <text>
        <t>Interest-only: entire payment is interest expense.</t>
      </text>
    </comment>
    <comment ref="E26" authorId="0" shapeId="0">
      <text>
        <t>Interest-only loan: no principal amortization until balloon.</t>
      </text>
    </comment>
    <comment ref="F26" authorId="0" shapeId="0">
      <text>
        <t>Interest-only: balance unchanged until balloon payment at maturity.</t>
      </text>
    </comment>
    <comment ref="C27" authorId="0" shapeId="0">
      <text>
        <t>Loan: Commonwealth, INTEREST_ONLY_BALLOON. Balance constant until balloon.</t>
      </text>
    </comment>
    <comment ref="D27" authorId="0" shapeId="0">
      <text>
        <t>Interest-only: entire payment is interest expense.</t>
      </text>
    </comment>
    <comment ref="E27" authorId="0" shapeId="0">
      <text>
        <t>Interest-only loan: no principal amortization until balloon.</t>
      </text>
    </comment>
    <comment ref="F27" authorId="0" shapeId="0">
      <text>
        <t>Interest-only: balance unchanged until balloon payment at maturity.</t>
      </text>
    </comment>
    <comment ref="C28" authorId="0" shapeId="0">
      <text>
        <t>Loan: Commonwealth, INTEREST_ONLY_BALLOON. Balance constant until balloon.</t>
      </text>
    </comment>
    <comment ref="D28" authorId="0" shapeId="0">
      <text>
        <t>Interest-only: entire payment is interest expense.</t>
      </text>
    </comment>
    <comment ref="E28" authorId="0" shapeId="0">
      <text>
        <t>Interest-only loan: no principal amortization until balloon.</t>
      </text>
    </comment>
    <comment ref="F28" authorId="0" shapeId="0">
      <text>
        <t>Interest-only: balance unchanged until balloon payment at maturity.</t>
      </text>
    </comment>
    <comment ref="C29" authorId="0" shapeId="0">
      <text>
        <t>Loan: Commonwealth, INTEREST_ONLY_BALLOON. Balance constant until balloon.</t>
      </text>
    </comment>
    <comment ref="D29" authorId="0" shapeId="0">
      <text>
        <t>Interest-only: entire payment is interest expense.</t>
      </text>
    </comment>
    <comment ref="E29" authorId="0" shapeId="0">
      <text>
        <t>Interest-only loan: no principal amortization until balloon.</t>
      </text>
    </comment>
    <comment ref="F29" authorId="0" shapeId="0">
      <text>
        <t>Interest-only: balance unchanged until balloon payment at maturity.</t>
      </text>
    </comment>
    <comment ref="C30" authorId="0" shapeId="0">
      <text>
        <t>Loan: Commonwealth, INTEREST_ONLY_BALLOON. Balance constant until balloon.</t>
      </text>
    </comment>
    <comment ref="D30" authorId="0" shapeId="0">
      <text>
        <t>Interest-only: entire payment is interest expense.</t>
      </text>
    </comment>
    <comment ref="E30" authorId="0" shapeId="0">
      <text>
        <t>Interest-only loan: no principal amortization until balloon.</t>
      </text>
    </comment>
    <comment ref="F30" authorId="0" shapeId="0">
      <text>
        <t>Interest-only: balance unchanged until balloon payment at maturity.</t>
      </text>
    </comment>
    <comment ref="C31" authorId="0" shapeId="0">
      <text>
        <t>Loan: Commonwealth, INTEREST_ONLY_BALLOON. Balance constant until balloon.</t>
      </text>
    </comment>
    <comment ref="D31" authorId="0" shapeId="0">
      <text>
        <t>Interest-only: entire payment is interest expense.</t>
      </text>
    </comment>
    <comment ref="E31" authorId="0" shapeId="0">
      <text>
        <t>Interest-only loan: no principal amortization until balloon.</t>
      </text>
    </comment>
    <comment ref="F31" authorId="0" shapeId="0">
      <text>
        <t>Interest-only: balance unchanged until balloon payment at maturity.</t>
      </text>
    </comment>
    <comment ref="C32" authorId="0" shapeId="0">
      <text>
        <t>Loan: Commonwealth, INTEREST_ONLY_BALLOON. Balance constant until balloon.</t>
      </text>
    </comment>
    <comment ref="D32" authorId="0" shapeId="0">
      <text>
        <t>Interest-only: entire payment is interest expense.</t>
      </text>
    </comment>
    <comment ref="E32" authorId="0" shapeId="0">
      <text>
        <t>Interest-only loan: no principal amortization until balloon.</t>
      </text>
    </comment>
    <comment ref="F32" authorId="0" shapeId="0">
      <text>
        <t>Interest-only: balance unchanged until balloon payment at maturity.</t>
      </text>
    </comment>
    <comment ref="C33" authorId="0" shapeId="0">
      <text>
        <t>Loan: Commonwealth, INTEREST_ONLY_BALLOON. Balance constant until balloon.</t>
      </text>
    </comment>
    <comment ref="D33" authorId="0" shapeId="0">
      <text>
        <t>Interest-only: entire payment is interest expense.</t>
      </text>
    </comment>
    <comment ref="E33" authorId="0" shapeId="0">
      <text>
        <t>Interest-only loan: no principal amortization until balloon.</t>
      </text>
    </comment>
    <comment ref="F33" authorId="0" shapeId="0">
      <text>
        <t>Interest-only: balance unchanged until balloon payment at maturity.</t>
      </text>
    </comment>
    <comment ref="C34" authorId="0" shapeId="0">
      <text>
        <t>Loan: Commonwealth, INTEREST_ONLY_BALLOON. Balance constant until balloon.</t>
      </text>
    </comment>
    <comment ref="D34" authorId="0" shapeId="0">
      <text>
        <t>Interest-only: entire payment is interest expense.</t>
      </text>
    </comment>
    <comment ref="E34" authorId="0" shapeId="0">
      <text>
        <t>Interest-only loan: no principal amortization until balloon.</t>
      </text>
    </comment>
    <comment ref="F34" authorId="0" shapeId="0">
      <text>
        <t>Interest-only: balance unchanged until balloon payment at maturity.</t>
      </text>
    </comment>
    <comment ref="C35" authorId="0" shapeId="0">
      <text>
        <t>Loan: Commonwealth, INTEREST_ONLY_BALLOON. Balance constant until balloon.</t>
      </text>
    </comment>
    <comment ref="D35" authorId="0" shapeId="0">
      <text>
        <t>Interest-only: entire payment is interest expense.</t>
      </text>
    </comment>
    <comment ref="E35" authorId="0" shapeId="0">
      <text>
        <t>Interest-only loan: no principal amortization until balloon.</t>
      </text>
    </comment>
    <comment ref="F35" authorId="0" shapeId="0">
      <text>
        <t>Interest-only: balance unchanged until balloon payment at maturity.</t>
      </text>
    </comment>
    <comment ref="C36" authorId="0" shapeId="0">
      <text>
        <t>Loan: Commonwealth, INTEREST_ONLY_BALLOON. Balance constant until balloon.</t>
      </text>
    </comment>
    <comment ref="D36" authorId="0" shapeId="0">
      <text>
        <t>Interest-only: entire payment is interest expense.</t>
      </text>
    </comment>
    <comment ref="E36" authorId="0" shapeId="0">
      <text>
        <t>Interest-only loan: no principal amortization until balloon.</t>
      </text>
    </comment>
    <comment ref="F36" authorId="0" shapeId="0">
      <text>
        <t>Interest-only: balance unchanged until balloon payment at maturity.</t>
      </text>
    </comment>
    <comment ref="C37" authorId="0" shapeId="0">
      <text>
        <t>Loan: Commonwealth, INTEREST_ONLY_BALLOON. Balance constant until balloon.</t>
      </text>
    </comment>
    <comment ref="D37" authorId="0" shapeId="0">
      <text>
        <t>Interest-only: entire payment is interest expense.</t>
      </text>
    </comment>
    <comment ref="E37" authorId="0" shapeId="0">
      <text>
        <t>Interest-only loan: no principal amortization until balloon.</t>
      </text>
    </comment>
    <comment ref="F37" authorId="0" shapeId="0">
      <text>
        <t>Interest-only: balance unchanged until balloon payment at maturity.</t>
      </text>
    </comment>
    <comment ref="C38" authorId="0" shapeId="0">
      <text>
        <t>Loan: Commonwealth, INTEREST_ONLY_BALLOON. Balance constant until balloon.</t>
      </text>
    </comment>
    <comment ref="D38" authorId="0" shapeId="0">
      <text>
        <t>Interest-only: entire payment is interest expense.</t>
      </text>
    </comment>
    <comment ref="E38" authorId="0" shapeId="0">
      <text>
        <t>Interest-only loan: no principal amortization until balloon.</t>
      </text>
    </comment>
    <comment ref="F38" authorId="0" shapeId="0">
      <text>
        <t>Interest-only: balance unchanged until balloon payment at maturity.</t>
      </text>
    </comment>
    <comment ref="C39" authorId="0" shapeId="0">
      <text>
        <t>Loan: Commonwealth, INTEREST_ONLY_BALLOON. Balance constant until balloon.</t>
      </text>
    </comment>
    <comment ref="D39" authorId="0" shapeId="0">
      <text>
        <t>Interest-only: entire payment is interest expense.</t>
      </text>
    </comment>
    <comment ref="E39" authorId="0" shapeId="0">
      <text>
        <t>Interest-only loan: no principal amortization until balloon.</t>
      </text>
    </comment>
    <comment ref="F39" authorId="0" shapeId="0">
      <text>
        <t>Interest-only: balance unchanged until balloon payment at maturity.</t>
      </text>
    </comment>
    <comment ref="C40" authorId="0" shapeId="0">
      <text>
        <t>Loan: Commonwealth, INTEREST_ONLY_BALLOON. Balance constant until balloon.</t>
      </text>
    </comment>
    <comment ref="D40" authorId="0" shapeId="0">
      <text>
        <t>Interest-only: entire payment is interest expense.</t>
      </text>
    </comment>
    <comment ref="E40" authorId="0" shapeId="0">
      <text>
        <t>Interest-only loan: no principal amortization until balloon.</t>
      </text>
    </comment>
    <comment ref="F40" authorId="0" shapeId="0">
      <text>
        <t>Interest-only: balance unchanged until balloon payment at maturity.</t>
      </text>
    </comment>
    <comment ref="C41" authorId="0" shapeId="0">
      <text>
        <t>Loan: Commonwealth, INTEREST_ONLY_BALLOON. Balance constant until balloon.</t>
      </text>
    </comment>
    <comment ref="D41" authorId="0" shapeId="0">
      <text>
        <t>Interest-only: entire payment is interest expense.</t>
      </text>
    </comment>
    <comment ref="E41" authorId="0" shapeId="0">
      <text>
        <t>Interest-only loan: no principal amortization until balloon.</t>
      </text>
    </comment>
    <comment ref="F41" authorId="0" shapeId="0">
      <text>
        <t>Interest-only: balance unchanged until balloon payment at maturity.</t>
      </text>
    </comment>
    <comment ref="C42" authorId="0" shapeId="0">
      <text>
        <t>Loan: Commonwealth, INTEREST_ONLY_BALLOON. Balance constant until balloon.</t>
      </text>
    </comment>
    <comment ref="D42" authorId="0" shapeId="0">
      <text>
        <t>Interest-only: entire payment is interest expense.</t>
      </text>
    </comment>
    <comment ref="E42" authorId="0" shapeId="0">
      <text>
        <t>Interest-only loan: no principal amortization until balloon.</t>
      </text>
    </comment>
    <comment ref="F42" authorId="0" shapeId="0">
      <text>
        <t>Interest-only: balance unchanged until balloon payment at maturity.</t>
      </text>
    </comment>
    <comment ref="C43" authorId="0" shapeId="0">
      <text>
        <t>Loan: Commonwealth, INTEREST_ONLY_BALLOON. Balance constant until balloon.</t>
      </text>
    </comment>
    <comment ref="D43" authorId="0" shapeId="0">
      <text>
        <t>Interest-only: entire payment is interest expense.</t>
      </text>
    </comment>
    <comment ref="E43" authorId="0" shapeId="0">
      <text>
        <t>Interest-only loan: no principal amortization until balloon.</t>
      </text>
    </comment>
    <comment ref="F43" authorId="0" shapeId="0">
      <text>
        <t>Interest-only: balance unchanged until balloon payment at maturity.</t>
      </text>
    </comment>
    <comment ref="C44" authorId="0" shapeId="0">
      <text>
        <t>Loan: Commonwealth, INTEREST_ONLY_BALLOON. Balance constant until balloon.</t>
      </text>
    </comment>
    <comment ref="D44" authorId="0" shapeId="0">
      <text>
        <t>Interest-only: entire payment is interest expense.</t>
      </text>
    </comment>
    <comment ref="E44" authorId="0" shapeId="0">
      <text>
        <t>Interest-only loan: no principal amortization until balloon.</t>
      </text>
    </comment>
    <comment ref="F44" authorId="0" shapeId="0">
      <text>
        <t>Interest-only: balance unchanged until balloon payment at maturity.</t>
      </text>
    </comment>
    <comment ref="C45" authorId="0" shapeId="0">
      <text>
        <t>Loan: Commonwealth, INTEREST_ONLY_BALLOON. Balance constant until balloon.</t>
      </text>
    </comment>
    <comment ref="D45" authorId="0" shapeId="0">
      <text>
        <t>Interest-only: entire payment is interest expense.</t>
      </text>
    </comment>
    <comment ref="E45" authorId="0" shapeId="0">
      <text>
        <t>Interest-only loan: no principal amortization until balloon.</t>
      </text>
    </comment>
    <comment ref="F45" authorId="0" shapeId="0">
      <text>
        <t>Interest-only: balance unchanged until balloon payment at maturity.</t>
      </text>
    </comment>
    <comment ref="C46" authorId="0" shapeId="0">
      <text>
        <t>Loan: Commonwealth, INTEREST_ONLY_BALLOON. Balance constant until balloon.</t>
      </text>
    </comment>
    <comment ref="D46" authorId="0" shapeId="0">
      <text>
        <t>Interest-only: entire payment is interest expense.</t>
      </text>
    </comment>
    <comment ref="E46" authorId="0" shapeId="0">
      <text>
        <t>Interest-only loan: no principal amortization until balloon.</t>
      </text>
    </comment>
    <comment ref="F46" authorId="0" shapeId="0">
      <text>
        <t>Interest-only: balance unchanged until balloon payment at maturity.</t>
      </text>
    </comment>
    <comment ref="C47" authorId="0" shapeId="0">
      <text>
        <t>Loan: Commonwealth, INTEREST_ONLY_BALLOON. Balance constant until balloon.</t>
      </text>
    </comment>
    <comment ref="D47" authorId="0" shapeId="0">
      <text>
        <t>Interest-only: entire payment is interest expense.</t>
      </text>
    </comment>
    <comment ref="E47" authorId="0" shapeId="0">
      <text>
        <t>Interest-only loan: no principal amortization until balloon.</t>
      </text>
    </comment>
    <comment ref="F47" authorId="0" shapeId="0">
      <text>
        <t>Interest-only: balance unchanged until balloon payment at maturity.</t>
      </text>
    </comment>
    <comment ref="C48" authorId="0" shapeId="0">
      <text>
        <t>Loan: Commonwealth, INTEREST_ONLY_BALLOON. Balance constant until balloon.</t>
      </text>
    </comment>
    <comment ref="D48" authorId="0" shapeId="0">
      <text>
        <t>Interest-only: entire payment is interest expense.</t>
      </text>
    </comment>
    <comment ref="E48" authorId="0" shapeId="0">
      <text>
        <t>Interest-only loan: no principal amortization until balloon.</t>
      </text>
    </comment>
    <comment ref="F48" authorId="0" shapeId="0">
      <text>
        <t>Interest-only: balance unchanged until balloon payment at maturity.</t>
      </text>
    </comment>
    <comment ref="C49" authorId="0" shapeId="0">
      <text>
        <t>Loan: Commonwealth, INTEREST_ONLY_BALLOON. Balance constant until balloon.</t>
      </text>
    </comment>
    <comment ref="D49" authorId="0" shapeId="0">
      <text>
        <t>Interest-only: entire payment is interest expense.</t>
      </text>
    </comment>
    <comment ref="E49" authorId="0" shapeId="0">
      <text>
        <t>Interest-only loan: no principal amortization until balloon.</t>
      </text>
    </comment>
    <comment ref="F49" authorId="0" shapeId="0">
      <text>
        <t>Interest-only: balance unchanged until balloon payment at maturity.</t>
      </text>
    </comment>
    <comment ref="C50" authorId="0" shapeId="0">
      <text>
        <t>Loan: Commonwealth, INTEREST_ONLY_BALLOON. Balance constant until balloon.</t>
      </text>
    </comment>
    <comment ref="D50" authorId="0" shapeId="0">
      <text>
        <t>Interest-only: entire payment is interest expense.</t>
      </text>
    </comment>
    <comment ref="E50" authorId="0" shapeId="0">
      <text>
        <t>Interest-only loan: no principal amortization until balloon.</t>
      </text>
    </comment>
    <comment ref="F50" authorId="0" shapeId="0">
      <text>
        <t>Interest-only: balance unchanged until balloon payment at maturity.</t>
      </text>
    </comment>
    <comment ref="C51" authorId="0" shapeId="0">
      <text>
        <t>Loan: Commonwealth, INTEREST_ONLY_BALLOON. Balance constant until balloon.</t>
      </text>
    </comment>
    <comment ref="D51" authorId="0" shapeId="0">
      <text>
        <t>Interest-only: entire payment is interest expense.</t>
      </text>
    </comment>
    <comment ref="E51" authorId="0" shapeId="0">
      <text>
        <t>Interest-only loan: no principal amortization until balloon.</t>
      </text>
    </comment>
    <comment ref="F51" authorId="0" shapeId="0">
      <text>
        <t>Interest-only: balance unchanged until balloon payment at maturity.</t>
      </text>
    </comment>
    <comment ref="C52" authorId="0" shapeId="0">
      <text>
        <t>Loan: Commonwealth, INTEREST_ONLY_BALLOON. Balance constant until balloon.</t>
      </text>
    </comment>
    <comment ref="D52" authorId="0" shapeId="0">
      <text>
        <t>Interest-only: entire payment is interest expense.</t>
      </text>
    </comment>
    <comment ref="E52" authorId="0" shapeId="0">
      <text>
        <t>Interest-only loan: no principal amortization until balloon.</t>
      </text>
    </comment>
    <comment ref="F52" authorId="0" shapeId="0">
      <text>
        <t>Interest-only: balance unchanged until balloon payment at maturity.</t>
      </text>
    </comment>
    <comment ref="C53" authorId="0" shapeId="0">
      <text>
        <t>Loan: Commonwealth, INTEREST_ONLY_BALLOON. Balance constant until balloon.</t>
      </text>
    </comment>
    <comment ref="D53" authorId="0" shapeId="0">
      <text>
        <t>Interest-only: entire payment is interest expense.</t>
      </text>
    </comment>
    <comment ref="E53" authorId="0" shapeId="0">
      <text>
        <t>Interest-only loan: no principal amortization until balloon.</t>
      </text>
    </comment>
    <comment ref="F53" authorId="0" shapeId="0">
      <text>
        <t>Interest-only: balance unchanged until balloon payment at maturity.</t>
      </text>
    </comment>
    <comment ref="C54" authorId="0" shapeId="0">
      <text>
        <t>Loan: Commonwealth, INTEREST_ONLY_BALLOON. Balance constant until balloon.</t>
      </text>
    </comment>
    <comment ref="D54" authorId="0" shapeId="0">
      <text>
        <t>Interest-only: entire payment is interest expense.</t>
      </text>
    </comment>
    <comment ref="E54" authorId="0" shapeId="0">
      <text>
        <t>Interest-only loan: no principal amortization until balloon.</t>
      </text>
    </comment>
    <comment ref="F54" authorId="0" shapeId="0">
      <text>
        <t>Interest-only: balance unchanged until balloon payment at maturity.</t>
      </text>
    </comment>
    <comment ref="C55" authorId="0" shapeId="0">
      <text>
        <t>Loan: Commonwealth, INTEREST_ONLY_BALLOON. Balance constant until balloon.</t>
      </text>
    </comment>
    <comment ref="D55" authorId="0" shapeId="0">
      <text>
        <t>Interest-only: entire payment is interest expense.</t>
      </text>
    </comment>
    <comment ref="E55" authorId="0" shapeId="0">
      <text>
        <t>Interest-only loan: no principal amortization until balloon.</t>
      </text>
    </comment>
    <comment ref="F55" authorId="0" shapeId="0">
      <text>
        <t>Interest-only: balance unchanged until balloon payment at maturity.</t>
      </text>
    </comment>
    <comment ref="C56" authorId="0" shapeId="0">
      <text>
        <t>Loan: Commonwealth, INTEREST_ONLY_BALLOON. Balance constant until balloon.</t>
      </text>
    </comment>
    <comment ref="D56" authorId="0" shapeId="0">
      <text>
        <t>Interest-only: entire payment is interest expense.</t>
      </text>
    </comment>
    <comment ref="E56" authorId="0" shapeId="0">
      <text>
        <t>Interest-only loan: no principal amortization until balloon.</t>
      </text>
    </comment>
    <comment ref="F56" authorId="0" shapeId="0">
      <text>
        <t>Interest-only: balance unchanged until balloon payment at maturity.</t>
      </text>
    </comment>
    <comment ref="C57" authorId="0" shapeId="0">
      <text>
        <t>Loan: Commonwealth, INTEREST_ONLY_BALLOON. Balance constant until balloon.</t>
      </text>
    </comment>
    <comment ref="D57" authorId="0" shapeId="0">
      <text>
        <t>Interest-only: entire payment is interest expense.</t>
      </text>
    </comment>
    <comment ref="E57" authorId="0" shapeId="0">
      <text>
        <t>Interest-only loan: no principal amortization until balloon.</t>
      </text>
    </comment>
    <comment ref="F57" authorId="0" shapeId="0">
      <text>
        <t>Interest-only: balance unchanged until balloon payment at maturity.</t>
      </text>
    </comment>
    <comment ref="C58" authorId="0" shapeId="0">
      <text>
        <t>Loan: Commonwealth, INTEREST_ONLY_BALLOON. Balance constant until balloon.</t>
      </text>
    </comment>
    <comment ref="D58" authorId="0" shapeId="0">
      <text>
        <t>Interest-only: entire payment is interest expense.</t>
      </text>
    </comment>
    <comment ref="E58" authorId="0" shapeId="0">
      <text>
        <t>Interest-only loan: no principal amortization until balloon.</t>
      </text>
    </comment>
    <comment ref="F58" authorId="0" shapeId="0">
      <text>
        <t>Interest-only: balance unchanged until balloon payment at maturity.</t>
      </text>
    </comment>
    <comment ref="C59" authorId="0" shapeId="0">
      <text>
        <t>Loan: Commonwealth, INTEREST_ONLY_BALLOON. Balance constant until balloon.</t>
      </text>
    </comment>
    <comment ref="D59" authorId="0" shapeId="0">
      <text>
        <t>Interest-only: entire payment is interest expense.</t>
      </text>
    </comment>
    <comment ref="E59" authorId="0" shapeId="0">
      <text>
        <t>Interest-only loan: no principal amortization until balloon.</t>
      </text>
    </comment>
    <comment ref="F59" authorId="0" shapeId="0">
      <text>
        <t>Interest-only: balance unchanged until balloon payment at maturity.</t>
      </text>
    </comment>
    <comment ref="C60" authorId="0" shapeId="0">
      <text>
        <t>Loan: Commonwealth, INTEREST_ONLY_BALLOON. Balance constant until balloon.</t>
      </text>
    </comment>
    <comment ref="D60" authorId="0" shapeId="0">
      <text>
        <t>Interest-only: entire payment is interest expense.</t>
      </text>
    </comment>
    <comment ref="E60" authorId="0" shapeId="0">
      <text>
        <t>Interest-only loan: no principal amortization until balloon.</t>
      </text>
    </comment>
    <comment ref="F60" authorId="0" shapeId="0">
      <text>
        <t>Interest-only: balance unchanged until balloon payment at maturity.</t>
      </text>
    </comment>
    <comment ref="C61" authorId="0" shapeId="0">
      <text>
        <t>Loan: Commonwealth, INTEREST_ONLY_BALLOON. Balance constant until balloon.</t>
      </text>
    </comment>
    <comment ref="D61" authorId="0" shapeId="0">
      <text>
        <t>Interest-only: entire payment is interest expense.</t>
      </text>
    </comment>
    <comment ref="E61" authorId="0" shapeId="0">
      <text>
        <t>Interest-only loan: no principal amortization until balloon.</t>
      </text>
    </comment>
    <comment ref="F61" authorId="0" shapeId="0">
      <text>
        <t>Interest-only: balance unchanged until balloon payment at maturity.</t>
      </text>
    </comment>
    <comment ref="C62" authorId="0" shapeId="0">
      <text>
        <t>Loan: Commonwealth, INTEREST_ONLY_BALLOON. Balance constant until balloon.</t>
      </text>
    </comment>
    <comment ref="D62" authorId="0" shapeId="0">
      <text>
        <t>Interest-only: entire payment is interest expense.</t>
      </text>
    </comment>
    <comment ref="E62" authorId="0" shapeId="0">
      <text>
        <t>Interest-only loan: no principal amortization until balloon.</t>
      </text>
    </comment>
    <comment ref="F62" authorId="0" shapeId="0">
      <text>
        <t>Interest-only: balance unchanged until balloon payment at maturity.</t>
      </text>
    </comment>
    <comment ref="C63" authorId="0" shapeId="0">
      <text>
        <t>Loan: Commonwealth, INTEREST_ONLY_BALLOON. Balance constant until balloon.</t>
      </text>
    </comment>
    <comment ref="D63" authorId="0" shapeId="0">
      <text>
        <t>Interest-only: entire payment is interest expense.</t>
      </text>
    </comment>
    <comment ref="E63" authorId="0" shapeId="0">
      <text>
        <t>Interest-only loan: no principal amortization until balloon.</t>
      </text>
    </comment>
    <comment ref="F63" authorId="0" shapeId="0">
      <text>
        <t>Interest-only: balance unchanged until balloon payment at maturity.</t>
      </text>
    </comment>
    <comment ref="C64" authorId="0" shapeId="0">
      <text>
        <t>Loan: Commonwealth, INTEREST_ONLY_BALLOON. Balance constant until balloon.</t>
      </text>
    </comment>
    <comment ref="D64" authorId="0" shapeId="0">
      <text>
        <t>Interest-only: entire payment is interest expense.</t>
      </text>
    </comment>
    <comment ref="E64" authorId="0" shapeId="0">
      <text>
        <t>Interest-only loan: no principal amortization until balloon.</t>
      </text>
    </comment>
    <comment ref="F64" authorId="0" shapeId="0">
      <text>
        <t>Interest-only: balance unchanged until balloon payment at maturity.</t>
      </text>
    </comment>
    <comment ref="C65" authorId="0" shapeId="0">
      <text>
        <t>Loan: Commonwealth, INTEREST_ONLY_BALLOON. Balance constant until balloon.</t>
      </text>
    </comment>
    <comment ref="D65" authorId="0" shapeId="0">
      <text>
        <t>Interest-only: entire payment is interest expense.</t>
      </text>
    </comment>
    <comment ref="E65" authorId="0" shapeId="0">
      <text>
        <t>Interest-only loan: no principal amortization until balloon.</t>
      </text>
    </comment>
    <comment ref="F65" authorId="0" shapeId="0">
      <text>
        <t>Interest-only: balance unchanged until balloon payment at maturity.</t>
      </text>
    </comment>
    <comment ref="C66" authorId="0" shapeId="0">
      <text>
        <t>Loan: Commonwealth, INTEREST_ONLY_BALLOON. Balance constant until balloon.</t>
      </text>
    </comment>
    <comment ref="D66" authorId="0" shapeId="0">
      <text>
        <t>Interest-only: entire payment is interest expense.</t>
      </text>
    </comment>
    <comment ref="E66" authorId="0" shapeId="0">
      <text>
        <t>Interest-only loan: no principal amortization until balloon.</t>
      </text>
    </comment>
    <comment ref="F66" authorId="0" shapeId="0">
      <text>
        <t>Interest-only: balance unchanged until balloon payment at maturity.</t>
      </text>
    </comment>
    <comment ref="C67" authorId="0" shapeId="0">
      <text>
        <t>Loan: Commonwealth, INTEREST_ONLY_BALLOON. Balance constant until balloon.</t>
      </text>
    </comment>
    <comment ref="D67" authorId="0" shapeId="0">
      <text>
        <t>Interest-only: entire payment is interest expense.</t>
      </text>
    </comment>
    <comment ref="E67" authorId="0" shapeId="0">
      <text>
        <t>Interest-only loan: no principal amortization until balloon.</t>
      </text>
    </comment>
    <comment ref="F67" authorId="0" shapeId="0">
      <text>
        <t>Interest-only: balance unchanged until balloon payment at maturity.</t>
      </text>
    </comment>
    <comment ref="C68" authorId="0" shapeId="0">
      <text>
        <t>Loan: Commonwealth, INTEREST_ONLY_BALLOON. Balance constant until balloon.</t>
      </text>
    </comment>
    <comment ref="D68" authorId="0" shapeId="0">
      <text>
        <t>Interest-only: entire payment is interest expense.</t>
      </text>
    </comment>
    <comment ref="E68" authorId="0" shapeId="0">
      <text>
        <t>Interest-only loan: no principal amortization until balloon.</t>
      </text>
    </comment>
    <comment ref="F68" authorId="0" shapeId="0">
      <text>
        <t>Interest-only: balance unchanged until balloon payment at maturity.</t>
      </text>
    </comment>
    <comment ref="C69" authorId="0" shapeId="0">
      <text>
        <t>Loan: Commonwealth, INTEREST_ONLY_BALLOON. Balance constant until balloon.</t>
      </text>
    </comment>
    <comment ref="D69" authorId="0" shapeId="0">
      <text>
        <t>Interest-only: entire payment is interest expense.</t>
      </text>
    </comment>
    <comment ref="E69" authorId="0" shapeId="0">
      <text>
        <t>Interest-only loan: no principal amortization until balloon.</t>
      </text>
    </comment>
    <comment ref="F69" authorId="0" shapeId="0">
      <text>
        <t>Interest-only: balance unchanged until balloon payment at maturity.</t>
      </text>
    </comment>
    <comment ref="C70" authorId="0" shapeId="0">
      <text>
        <t>Loan: Commonwealth, INTEREST_ONLY_BALLOON. Balance constant until balloon.</t>
      </text>
    </comment>
    <comment ref="D70" authorId="0" shapeId="0">
      <text>
        <t>Interest-only: entire payment is interest expense.</t>
      </text>
    </comment>
    <comment ref="E70" authorId="0" shapeId="0">
      <text>
        <t>Interest-only loan: no principal amortization until balloon.</t>
      </text>
    </comment>
    <comment ref="F70" authorId="0" shapeId="0">
      <text>
        <t>Interest-only: balance unchanged until balloon payment at maturity.</t>
      </text>
    </comment>
    <comment ref="C71" authorId="0" shapeId="0">
      <text>
        <t>Loan: Commonwealth, INTEREST_ONLY_BALLOON. Balance constant until balloon.</t>
      </text>
    </comment>
    <comment ref="D71" authorId="0" shapeId="0">
      <text>
        <t>Interest-only: entire payment is interest expense.</t>
      </text>
    </comment>
    <comment ref="E71" authorId="0" shapeId="0">
      <text>
        <t>Interest-only loan: no principal amortization until balloon.</t>
      </text>
    </comment>
    <comment ref="F71" authorId="0" shapeId="0">
      <text>
        <t>Interest-only: balance unchanged until balloon payment at maturity.</t>
      </text>
    </comment>
    <comment ref="C72" authorId="0" shapeId="0">
      <text>
        <t>Loan: Commonwealth, INTEREST_ONLY_BALLOON. Balance constant until balloon.</t>
      </text>
    </comment>
    <comment ref="D72" authorId="0" shapeId="0">
      <text>
        <t>Interest-only: entire payment is interest expense.</t>
      </text>
    </comment>
    <comment ref="E72" authorId="0" shapeId="0">
      <text>
        <t>Interest-only loan: no principal amortization until balloon.</t>
      </text>
    </comment>
    <comment ref="F72" authorId="0" shapeId="0">
      <text>
        <t>Interest-only: balance unchanged until balloon payment at maturity.</t>
      </text>
    </comment>
    <comment ref="C73" authorId="0" shapeId="0">
      <text>
        <t>Loan: Commonwealth, INTEREST_ONLY_BALLOON. Balance constant until balloon.</t>
      </text>
    </comment>
    <comment ref="D73" authorId="0" shapeId="0">
      <text>
        <t>Interest-only: entire payment is interest expense.</t>
      </text>
    </comment>
    <comment ref="E73" authorId="0" shapeId="0">
      <text>
        <t>Interest-only loan: no principal amortization until balloon.</t>
      </text>
    </comment>
    <comment ref="F73" authorId="0" shapeId="0">
      <text>
        <t>Interest-only: balance unchanged until balloon payment at maturity.</t>
      </text>
    </comment>
    <comment ref="C74" authorId="0" shapeId="0">
      <text>
        <t>Loan: Commonwealth, INTEREST_ONLY_BALLOON. Balance constant until balloon.</t>
      </text>
    </comment>
    <comment ref="D74" authorId="0" shapeId="0">
      <text>
        <t>Interest-only: entire payment is interest expense.</t>
      </text>
    </comment>
    <comment ref="E74" authorId="0" shapeId="0">
      <text>
        <t>Interest-only loan: no principal amortization until balloon.</t>
      </text>
    </comment>
    <comment ref="F74" authorId="0" shapeId="0">
      <text>
        <t>Interest-only: balance unchanged until balloon payment at maturity.</t>
      </text>
    </comment>
    <comment ref="C75" authorId="0" shapeId="0">
      <text>
        <t>Loan: Commonwealth, INTEREST_ONLY_BALLOON. Balance constant until balloon.</t>
      </text>
    </comment>
    <comment ref="D75" authorId="0" shapeId="0">
      <text>
        <t>Interest-only: entire payment is interest expense.</t>
      </text>
    </comment>
    <comment ref="E75" authorId="0" shapeId="0">
      <text>
        <t>Interest-only loan: no principal amortization until balloon.</t>
      </text>
    </comment>
    <comment ref="F75" authorId="0" shapeId="0">
      <text>
        <t>Interest-only: balance unchanged until balloon payment at maturity.</t>
      </text>
    </comment>
    <comment ref="C76" authorId="0" shapeId="0">
      <text>
        <t>Loan: Commonwealth, INTEREST_ONLY_BALLOON. Balance constant until balloon.</t>
      </text>
    </comment>
    <comment ref="D76" authorId="0" shapeId="0">
      <text>
        <t>Interest-only: entire payment is interest expense.</t>
      </text>
    </comment>
    <comment ref="E76" authorId="0" shapeId="0">
      <text>
        <t>Interest-only loan: no principal amortization until balloon.</t>
      </text>
    </comment>
    <comment ref="F76" authorId="0" shapeId="0">
      <text>
        <t>Interest-only: balance unchanged until balloon payment at maturity.</t>
      </text>
    </comment>
    <comment ref="C77" authorId="0" shapeId="0">
      <text>
        <t>Loan: Commonwealth, INTEREST_ONLY_BALLOON. Balance constant until balloon.</t>
      </text>
    </comment>
    <comment ref="D77" authorId="0" shapeId="0">
      <text>
        <t>Interest-only: entire payment is interest expense.</t>
      </text>
    </comment>
    <comment ref="E77" authorId="0" shapeId="0">
      <text>
        <t>Interest-only loan: no principal amortization until balloon.</t>
      </text>
    </comment>
    <comment ref="F77" authorId="0" shapeId="0">
      <text>
        <t>Interest-only: balance unchanged until balloon payment at maturity.</t>
      </text>
    </comment>
    <comment ref="C78" authorId="0" shapeId="0">
      <text>
        <t>Loan: Commonwealth, INTEREST_ONLY_BALLOON. Balance constant until balloon.</t>
      </text>
    </comment>
    <comment ref="D78" authorId="0" shapeId="0">
      <text>
        <t>Interest-only: entire payment is interest expense.</t>
      </text>
    </comment>
    <comment ref="E78" authorId="0" shapeId="0">
      <text>
        <t>Interest-only loan: no principal amortization until balloon.</t>
      </text>
    </comment>
    <comment ref="F78" authorId="0" shapeId="0">
      <text>
        <t>Interest-only: balance unchanged until balloon payment at maturity.</t>
      </text>
    </comment>
    <comment ref="C79" authorId="0" shapeId="0">
      <text>
        <t>Loan: Commonwealth, INTEREST_ONLY_BALLOON. Balance constant until balloon.</t>
      </text>
    </comment>
    <comment ref="D79" authorId="0" shapeId="0">
      <text>
        <t>Interest-only: entire payment is interest expense.</t>
      </text>
    </comment>
    <comment ref="E79" authorId="0" shapeId="0">
      <text>
        <t>Interest-only loan: no principal amortization until balloon.</t>
      </text>
    </comment>
    <comment ref="F79" authorId="0" shapeId="0">
      <text>
        <t>Interest-only: balance unchanged until balloon payment at maturity.</t>
      </text>
    </comment>
    <comment ref="C80" authorId="0" shapeId="0">
      <text>
        <t>Loan: Commonwealth, INTEREST_ONLY_BALLOON. Balance constant until balloon.</t>
      </text>
    </comment>
    <comment ref="D80" authorId="0" shapeId="0">
      <text>
        <t>Interest-only: entire payment is interest expense.</t>
      </text>
    </comment>
    <comment ref="E80" authorId="0" shapeId="0">
      <text>
        <t>Interest-only loan: no principal amortization until balloon.</t>
      </text>
    </comment>
    <comment ref="F80" authorId="0" shapeId="0">
      <text>
        <t>Interest-only: balance unchanged until balloon payment at maturity.</t>
      </text>
    </comment>
    <comment ref="C81" authorId="0" shapeId="0">
      <text>
        <t>Loan: Commonwealth, INTEREST_ONLY_BALLOON. Balance constant until balloon.</t>
      </text>
    </comment>
    <comment ref="D81" authorId="0" shapeId="0">
      <text>
        <t>Interest-only: entire payment is interest expense.</t>
      </text>
    </comment>
    <comment ref="E81" authorId="0" shapeId="0">
      <text>
        <t>Interest-only loan: no principal amortization until balloon.</t>
      </text>
    </comment>
    <comment ref="F81" authorId="0" shapeId="0">
      <text>
        <t>Interest-only: balance unchanged until balloon payment at maturity.</t>
      </text>
    </comment>
    <comment ref="C82" authorId="0" shapeId="0">
      <text>
        <t>Loan: Commonwealth, INTEREST_ONLY_BALLOON. Balance constant until balloon.</t>
      </text>
    </comment>
    <comment ref="D82" authorId="0" shapeId="0">
      <text>
        <t>Interest-only: entire payment is interest expense.</t>
      </text>
    </comment>
    <comment ref="E82" authorId="0" shapeId="0">
      <text>
        <t>Interest-only loan: no principal amortization until balloon.</t>
      </text>
    </comment>
    <comment ref="F82" authorId="0" shapeId="0">
      <text>
        <t>Interest-only: balance unchanged until balloon payment at maturity.</t>
      </text>
    </comment>
    <comment ref="C83" authorId="0" shapeId="0">
      <text>
        <t>Loan: Commonwealth, INTEREST_ONLY_BALLOON. Balance constant until balloon.</t>
      </text>
    </comment>
    <comment ref="D83" authorId="0" shapeId="0">
      <text>
        <t>Interest-only: entire payment is interest expense.</t>
      </text>
    </comment>
    <comment ref="E83" authorId="0" shapeId="0">
      <text>
        <t>Interest-only loan: no principal amortization until balloon.</t>
      </text>
    </comment>
    <comment ref="F83" authorId="0" shapeId="0">
      <text>
        <t>Interest-only: balance unchanged until balloon payment at maturity.</t>
      </text>
    </comment>
    <comment ref="C84" authorId="0" shapeId="0">
      <text>
        <t>Loan: Commonwealth, INTEREST_ONLY_BALLOON. Balance constant until balloon.</t>
      </text>
    </comment>
    <comment ref="D84" authorId="0" shapeId="0">
      <text>
        <t>Interest-only: entire payment is interest expense.</t>
      </text>
    </comment>
    <comment ref="E84" authorId="0" shapeId="0">
      <text>
        <t>Interest-only loan: no principal amortization until balloon.</t>
      </text>
    </comment>
    <comment ref="F84" authorId="0" shapeId="0">
      <text>
        <t>Interest-only: balance unchanged until balloon payment at maturity.</t>
      </text>
    </comment>
    <comment ref="C85" authorId="0" shapeId="0">
      <text>
        <t>Loan: Commonwealth, INTEREST_ONLY_BALLOON. Balance constant until balloon.</t>
      </text>
    </comment>
    <comment ref="D85" authorId="0" shapeId="0">
      <text>
        <t>Interest-only: entire payment is interest expense.</t>
      </text>
    </comment>
    <comment ref="E85" authorId="0" shapeId="0">
      <text>
        <t>Interest-only loan: no principal amortization until balloon.</t>
      </text>
    </comment>
    <comment ref="F85" authorId="0" shapeId="0">
      <text>
        <t>Interest-only: balance unchanged until balloon payment at maturity.</t>
      </text>
    </comment>
    <comment ref="C91" authorId="0" shapeId="0">
      <text>
        <t>Year-end balance for 2026. Constant for I/O loan.</t>
      </text>
    </comment>
    <comment ref="D91" authorId="0" shapeId="0">
      <text>
        <t>Total interest expense for 2026.</t>
      </text>
    </comment>
    <comment ref="E91" authorId="0" shapeId="0">
      <text>
        <t>No principal paid for I/O loan in 2026.</t>
      </text>
    </comment>
    <comment ref="C92" authorId="0" shapeId="0">
      <text>
        <t>Year-end balance for 2027. Constant for I/O loan.</t>
      </text>
    </comment>
    <comment ref="D92" authorId="0" shapeId="0">
      <text>
        <t>Total interest expense for 2027.</t>
      </text>
    </comment>
    <comment ref="E92" authorId="0" shapeId="0">
      <text>
        <t>No principal paid for I/O loan in 2027.</t>
      </text>
    </comment>
    <comment ref="C93" authorId="0" shapeId="0">
      <text>
        <t>Year-end balance for 2028. Constant for I/O loan.</t>
      </text>
    </comment>
    <comment ref="D93" authorId="0" shapeId="0">
      <text>
        <t>Total interest expense for 2028.</t>
      </text>
    </comment>
    <comment ref="E93" authorId="0" shapeId="0">
      <text>
        <t>No principal paid for I/O loan in 2028.</t>
      </text>
    </comment>
    <comment ref="C94" authorId="0" shapeId="0">
      <text>
        <t>Year-end balance for 2029. Constant for I/O loan.</t>
      </text>
    </comment>
    <comment ref="D94" authorId="0" shapeId="0">
      <text>
        <t>Total interest expense for 2029.</t>
      </text>
    </comment>
    <comment ref="E94" authorId="0" shapeId="0">
      <text>
        <t>No principal paid for I/O loan in 2029.</t>
      </text>
    </comment>
    <comment ref="C95" authorId="0" shapeId="0">
      <text>
        <t>Year-end balance for 2030. Constant for I/O loan.</t>
      </text>
    </comment>
    <comment ref="D95" authorId="0" shapeId="0">
      <text>
        <t>Total interest expense for 2030.</t>
      </text>
    </comment>
    <comment ref="E95" authorId="0" shapeId="0">
      <text>
        <t>No principal paid for I/O loan in 2030.</t>
      </text>
    </comment>
    <comment ref="B97" authorId="0" shapeId="0">
      <text>
        <t>Links to: assumption block row 12 — Principal Balance.</t>
      </text>
    </comment>
  </commentList>
</comments>
</file>

<file path=xl/comments/comment8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loans.md, Loan 005
Extracted: 2026-05-14</t>
      </text>
    </comment>
    <comment ref="B6" authorId="0" shapeId="0">
      <text>
        <t>Source: Meiborg_Debt_Schedule_202512.xlsx
Balance as of 12/31/2025
Original Balance: $1,993,260.00</t>
      </text>
    </comment>
    <comment ref="B7" authorId="0" shapeId="0">
      <text>
        <t>Source: loans.md, Loan 005
Extracted: 2026-05-14</t>
      </text>
    </comment>
    <comment ref="B8" authorId="0" shapeId="0">
      <text>
        <t>Source: loans.md, Loan 005
Extracted: 2026-05-14</t>
      </text>
    </comment>
    <comment ref="C23" authorId="0" shapeId="0">
      <text>
        <t>Loan: Webster Capital Finance. Source: Meiborg_Debt_Schedule_202512.xlsx</t>
      </text>
    </comment>
    <comment ref="D23" authorId="0" shapeId="0">
      <text>
        <t>Loan: Webster Capital Finance. Interest = MAX(0, Opening * Rate/12)</t>
      </text>
    </comment>
    <comment ref="E23" authorId="0" shapeId="0">
      <text>
        <t>Loan: Webster Capital Finance. Principal = MAX(0, MIN(Opening, Payment - Interest))</t>
      </text>
    </comment>
    <comment ref="F23" authorId="0" shapeId="0">
      <text>
        <t>Loan: Webster Capital Finance. Closing = MAX(0, Opening - Principal)</t>
      </text>
    </comment>
    <comment ref="C24" authorId="0" shapeId="0">
      <text>
        <t>Loan: Webster Capital Finance. Opening = prior month closing balance.</t>
      </text>
    </comment>
    <comment ref="D24" authorId="0" shapeId="0">
      <text>
        <t>Loan: Webster Capital Finance. Interest = MAX(0, Opening * Rate/12)</t>
      </text>
    </comment>
    <comment ref="E24" authorId="0" shapeId="0">
      <text>
        <t>Loan: Webster Capital Finance. Principal = MAX(0, MIN(Opening, Payment - Interest))</t>
      </text>
    </comment>
    <comment ref="F24" authorId="0" shapeId="0">
      <text>
        <t>Loan: Webster Capital Finance. Closing = MAX(0, Opening - Principal)</t>
      </text>
    </comment>
    <comment ref="C25" authorId="0" shapeId="0">
      <text>
        <t>Loan: Webster Capital Finance. Opening = prior month closing balance.</t>
      </text>
    </comment>
    <comment ref="D25" authorId="0" shapeId="0">
      <text>
        <t>Loan: Webster Capital Finance. Interest = MAX(0, Opening * Rate/12)</t>
      </text>
    </comment>
    <comment ref="E25" authorId="0" shapeId="0">
      <text>
        <t>Loan: Webster Capital Finance. Principal = MAX(0, MIN(Opening, Payment - Interest))</t>
      </text>
    </comment>
    <comment ref="F25" authorId="0" shapeId="0">
      <text>
        <t>Loan: Webster Capital Finance. Closing = MAX(0, Opening - Principal)</t>
      </text>
    </comment>
    <comment ref="C26" authorId="0" shapeId="0">
      <text>
        <t>Loan: Webster Capital Finance. Opening = prior month closing balance.</t>
      </text>
    </comment>
    <comment ref="D26" authorId="0" shapeId="0">
      <text>
        <t>Loan: Webster Capital Finance. Interest = MAX(0, Opening * Rate/12)</t>
      </text>
    </comment>
    <comment ref="E26" authorId="0" shapeId="0">
      <text>
        <t>Loan: Webster Capital Finance. Principal = MAX(0, MIN(Opening, Payment - Interest))</t>
      </text>
    </comment>
    <comment ref="F26" authorId="0" shapeId="0">
      <text>
        <t>Loan: Webster Capital Finance. Closing = MAX(0, Opening - Principal)</t>
      </text>
    </comment>
    <comment ref="C27" authorId="0" shapeId="0">
      <text>
        <t>Loan: Webster Capital Finance. Opening = prior month closing balance.</t>
      </text>
    </comment>
    <comment ref="D27" authorId="0" shapeId="0">
      <text>
        <t>Loan: Webster Capital Finance. Interest = MAX(0, Opening * Rate/12)</t>
      </text>
    </comment>
    <comment ref="E27" authorId="0" shapeId="0">
      <text>
        <t>Loan: Webster Capital Finance. Principal = MAX(0, MIN(Opening, Payment - Interest))</t>
      </text>
    </comment>
    <comment ref="F27" authorId="0" shapeId="0">
      <text>
        <t>Loan: Webster Capital Finance. Closing = MAX(0, Opening - Principal)</t>
      </text>
    </comment>
    <comment ref="C28" authorId="0" shapeId="0">
      <text>
        <t>Loan: Webster Capital Finance. Opening = prior month closing balance.</t>
      </text>
    </comment>
    <comment ref="D28" authorId="0" shapeId="0">
      <text>
        <t>Loan: Webster Capital Finance. Interest = MAX(0, Opening * Rate/12)</t>
      </text>
    </comment>
    <comment ref="E28" authorId="0" shapeId="0">
      <text>
        <t>Loan: Webster Capital Finance. Principal = MAX(0, MIN(Opening, Payment - Interest))</t>
      </text>
    </comment>
    <comment ref="F28" authorId="0" shapeId="0">
      <text>
        <t>Loan: Webster Capital Finance. Closing = MAX(0, Opening - Principal)</t>
      </text>
    </comment>
    <comment ref="C29" authorId="0" shapeId="0">
      <text>
        <t>Loan: Webster Capital Finance. Opening = prior month closing balance.</t>
      </text>
    </comment>
    <comment ref="D29" authorId="0" shapeId="0">
      <text>
        <t>Loan: Webster Capital Finance. Interest = MAX(0, Opening * Rate/12)</t>
      </text>
    </comment>
    <comment ref="E29" authorId="0" shapeId="0">
      <text>
        <t>Loan: Webster Capital Finance. Principal = MAX(0, MIN(Opening, Payment - Interest))</t>
      </text>
    </comment>
    <comment ref="F29" authorId="0" shapeId="0">
      <text>
        <t>Loan: Webster Capital Finance. Closing = MAX(0, Opening - Principal)</t>
      </text>
    </comment>
    <comment ref="C30" authorId="0" shapeId="0">
      <text>
        <t>Loan: Webster Capital Finance. Opening = prior month closing balance.</t>
      </text>
    </comment>
    <comment ref="D30" authorId="0" shapeId="0">
      <text>
        <t>Loan: Webster Capital Finance. Interest = MAX(0, Opening * Rate/12)</t>
      </text>
    </comment>
    <comment ref="E30" authorId="0" shapeId="0">
      <text>
        <t>Loan: Webster Capital Finance. Principal = MAX(0, MIN(Opening, Payment - Interest))</t>
      </text>
    </comment>
    <comment ref="F30" authorId="0" shapeId="0">
      <text>
        <t>Loan: Webster Capital Finance. Closing = MAX(0, Opening - Principal)</t>
      </text>
    </comment>
    <comment ref="C31" authorId="0" shapeId="0">
      <text>
        <t>Loan: Webster Capital Finance. Opening = prior month closing balance.</t>
      </text>
    </comment>
    <comment ref="D31" authorId="0" shapeId="0">
      <text>
        <t>Loan: Webster Capital Finance. Interest = MAX(0, Opening * Rate/12)</t>
      </text>
    </comment>
    <comment ref="E31" authorId="0" shapeId="0">
      <text>
        <t>Loan: Webster Capital Finance. Principal = MAX(0, MIN(Opening, Payment - Interest))</t>
      </text>
    </comment>
    <comment ref="F31" authorId="0" shapeId="0">
      <text>
        <t>Loan: Webster Capital Finance. Closing = MAX(0, Opening - Principal)</t>
      </text>
    </comment>
    <comment ref="C32" authorId="0" shapeId="0">
      <text>
        <t>Loan: Webster Capital Finance. Opening = prior month closing balance.</t>
      </text>
    </comment>
    <comment ref="D32" authorId="0" shapeId="0">
      <text>
        <t>Loan: Webster Capital Finance. Interest = MAX(0, Opening * Rate/12)</t>
      </text>
    </comment>
    <comment ref="E32" authorId="0" shapeId="0">
      <text>
        <t>Loan: Webster Capital Finance. Principal = MAX(0, MIN(Opening, Payment - Interest))</t>
      </text>
    </comment>
    <comment ref="F32" authorId="0" shapeId="0">
      <text>
        <t>Loan: Webster Capital Finance. Closing = MAX(0, Opening - Principal)</t>
      </text>
    </comment>
    <comment ref="C33" authorId="0" shapeId="0">
      <text>
        <t>Loan: Webster Capital Finance. Opening = prior month closing balance.</t>
      </text>
    </comment>
    <comment ref="D33" authorId="0" shapeId="0">
      <text>
        <t>Loan: Webster Capital Finance. Interest = MAX(0, Opening * Rate/12)</t>
      </text>
    </comment>
    <comment ref="E33" authorId="0" shapeId="0">
      <text>
        <t>Loan: Webster Capital Finance. Principal = MAX(0, MIN(Opening, Payment - Interest))</t>
      </text>
    </comment>
    <comment ref="F33" authorId="0" shapeId="0">
      <text>
        <t>Loan: Webster Capital Finance. Closing = MAX(0, Opening - Principal)</t>
      </text>
    </comment>
    <comment ref="C34" authorId="0" shapeId="0">
      <text>
        <t>Loan: Webster Capital Finance. Opening = prior month closing balance.</t>
      </text>
    </comment>
    <comment ref="D34" authorId="0" shapeId="0">
      <text>
        <t>Loan: Webster Capital Finance. Interest = MAX(0, Opening * Rate/12)</t>
      </text>
    </comment>
    <comment ref="E34" authorId="0" shapeId="0">
      <text>
        <t>Loan: Webster Capital Finance. Principal = MAX(0, MIN(Opening, Payment - Interest))</t>
      </text>
    </comment>
    <comment ref="F34" authorId="0" shapeId="0">
      <text>
        <t>Loan: Webster Capital Finance. Closing = MAX(0, Opening - Principal)</t>
      </text>
    </comment>
    <comment ref="C35" authorId="0" shapeId="0">
      <text>
        <t>Loan: Webster Capital Finance. Opening = prior month closing balance.</t>
      </text>
    </comment>
    <comment ref="D35" authorId="0" shapeId="0">
      <text>
        <t>Loan: Webster Capital Finance. Interest = MAX(0, Opening * Rate/12)</t>
      </text>
    </comment>
    <comment ref="E35" authorId="0" shapeId="0">
      <text>
        <t>Loan: Webster Capital Finance. Principal = MAX(0, MIN(Opening, Payment - Interest))</t>
      </text>
    </comment>
    <comment ref="F35" authorId="0" shapeId="0">
      <text>
        <t>Loan: Webster Capital Finance. Closing = MAX(0, Opening - Principal)</t>
      </text>
    </comment>
    <comment ref="C36" authorId="0" shapeId="0">
      <text>
        <t>Loan: Webster Capital Finance. Opening = prior month closing balance.</t>
      </text>
    </comment>
    <comment ref="D36" authorId="0" shapeId="0">
      <text>
        <t>Loan: Webster Capital Finance. Interest = MAX(0, Opening * Rate/12)</t>
      </text>
    </comment>
    <comment ref="E36" authorId="0" shapeId="0">
      <text>
        <t>Loan: Webster Capital Finance. Principal = MAX(0, MIN(Opening, Payment - Interest))</t>
      </text>
    </comment>
    <comment ref="F36" authorId="0" shapeId="0">
      <text>
        <t>Loan: Webster Capital Finance. Closing = MAX(0, Opening - Principal)</t>
      </text>
    </comment>
    <comment ref="C37" authorId="0" shapeId="0">
      <text>
        <t>Loan: Webster Capital Finance. Opening = prior month closing balance.</t>
      </text>
    </comment>
    <comment ref="D37" authorId="0" shapeId="0">
      <text>
        <t>Loan: Webster Capital Finance. Interest = MAX(0, Opening * Rate/12)</t>
      </text>
    </comment>
    <comment ref="E37" authorId="0" shapeId="0">
      <text>
        <t>Loan: Webster Capital Finance. Principal = MAX(0, MIN(Opening, Payment - Interest))</t>
      </text>
    </comment>
    <comment ref="F37" authorId="0" shapeId="0">
      <text>
        <t>Loan: Webster Capital Finance. Closing = MAX(0, Opening - Principal)</t>
      </text>
    </comment>
    <comment ref="C38" authorId="0" shapeId="0">
      <text>
        <t>Loan: Webster Capital Finance. Opening = prior month closing balance.</t>
      </text>
    </comment>
    <comment ref="D38" authorId="0" shapeId="0">
      <text>
        <t>Loan: Webster Capital Finance. Interest = MAX(0, Opening * Rate/12)</t>
      </text>
    </comment>
    <comment ref="E38" authorId="0" shapeId="0">
      <text>
        <t>Loan: Webster Capital Finance. Principal = MAX(0, MIN(Opening, Payment - Interest))</t>
      </text>
    </comment>
    <comment ref="F38" authorId="0" shapeId="0">
      <text>
        <t>Loan: Webster Capital Finance. Closing = MAX(0, Opening - Principal)</t>
      </text>
    </comment>
    <comment ref="C39" authorId="0" shapeId="0">
      <text>
        <t>Loan: Webster Capital Finance. Opening = prior month closing balance.</t>
      </text>
    </comment>
    <comment ref="D39" authorId="0" shapeId="0">
      <text>
        <t>Loan: Webster Capital Finance. Interest = MAX(0, Opening * Rate/12)</t>
      </text>
    </comment>
    <comment ref="E39" authorId="0" shapeId="0">
      <text>
        <t>Loan: Webster Capital Finance. Principal = MAX(0, MIN(Opening, Payment - Interest))</t>
      </text>
    </comment>
    <comment ref="F39" authorId="0" shapeId="0">
      <text>
        <t>Loan: Webster Capital Finance. Closing = MAX(0, Opening - Principal)</t>
      </text>
    </comment>
    <comment ref="C40" authorId="0" shapeId="0">
      <text>
        <t>Loan: Webster Capital Finance. Opening = prior month closing balance.</t>
      </text>
    </comment>
    <comment ref="D40" authorId="0" shapeId="0">
      <text>
        <t>Loan: Webster Capital Finance. Interest = MAX(0, Opening * Rate/12)</t>
      </text>
    </comment>
    <comment ref="E40" authorId="0" shapeId="0">
      <text>
        <t>Loan: Webster Capital Finance. Principal = MAX(0, MIN(Opening, Payment - Interest))</t>
      </text>
    </comment>
    <comment ref="F40" authorId="0" shapeId="0">
      <text>
        <t>Loan: Webster Capital Finance. Closing = MAX(0, Opening - Principal)</t>
      </text>
    </comment>
    <comment ref="C41" authorId="0" shapeId="0">
      <text>
        <t>Loan: Webster Capital Finance. Opening = prior month closing balance.</t>
      </text>
    </comment>
    <comment ref="D41" authorId="0" shapeId="0">
      <text>
        <t>Loan: Webster Capital Finance. Interest = MAX(0, Opening * Rate/12)</t>
      </text>
    </comment>
    <comment ref="E41" authorId="0" shapeId="0">
      <text>
        <t>Loan: Webster Capital Finance. Principal = MAX(0, MIN(Opening, Payment - Interest))</t>
      </text>
    </comment>
    <comment ref="F41" authorId="0" shapeId="0">
      <text>
        <t>Loan: Webster Capital Finance. Closing = MAX(0, Opening - Principal)</t>
      </text>
    </comment>
    <comment ref="C42" authorId="0" shapeId="0">
      <text>
        <t>Loan: Webster Capital Finance. Opening = prior month closing balance.</t>
      </text>
    </comment>
    <comment ref="D42" authorId="0" shapeId="0">
      <text>
        <t>Loan: Webster Capital Finance. Interest = MAX(0, Opening * Rate/12)</t>
      </text>
    </comment>
    <comment ref="E42" authorId="0" shapeId="0">
      <text>
        <t>Loan: Webster Capital Finance. Principal = MAX(0, MIN(Opening, Payment - Interest))</t>
      </text>
    </comment>
    <comment ref="F42" authorId="0" shapeId="0">
      <text>
        <t>Loan: Webster Capital Finance. Closing = MAX(0, Opening - Principal)</t>
      </text>
    </comment>
    <comment ref="C43" authorId="0" shapeId="0">
      <text>
        <t>Loan: Webster Capital Finance. Opening = prior month closing balance.</t>
      </text>
    </comment>
    <comment ref="D43" authorId="0" shapeId="0">
      <text>
        <t>Loan: Webster Capital Finance. Interest = MAX(0, Opening * Rate/12)</t>
      </text>
    </comment>
    <comment ref="E43" authorId="0" shapeId="0">
      <text>
        <t>Loan: Webster Capital Finance. Principal = MAX(0, MIN(Opening, Payment - Interest))</t>
      </text>
    </comment>
    <comment ref="F43" authorId="0" shapeId="0">
      <text>
        <t>Loan: Webster Capital Finance. Closing = MAX(0, Opening - Principal)</t>
      </text>
    </comment>
    <comment ref="C44" authorId="0" shapeId="0">
      <text>
        <t>Loan: Webster Capital Finance. Opening = prior month closing balance.</t>
      </text>
    </comment>
    <comment ref="D44" authorId="0" shapeId="0">
      <text>
        <t>Loan: Webster Capital Finance. Interest = MAX(0, Opening * Rate/12)</t>
      </text>
    </comment>
    <comment ref="E44" authorId="0" shapeId="0">
      <text>
        <t>Loan: Webster Capital Finance. Principal = MAX(0, MIN(Opening, Payment - Interest))</t>
      </text>
    </comment>
    <comment ref="F44" authorId="0" shapeId="0">
      <text>
        <t>Loan: Webster Capital Finance. Closing = MAX(0, Opening - Principal)</t>
      </text>
    </comment>
    <comment ref="C45" authorId="0" shapeId="0">
      <text>
        <t>Loan: Webster Capital Finance. Opening = prior month closing balance.</t>
      </text>
    </comment>
    <comment ref="D45" authorId="0" shapeId="0">
      <text>
        <t>Loan: Webster Capital Finance. Interest = MAX(0, Opening * Rate/12)</t>
      </text>
    </comment>
    <comment ref="E45" authorId="0" shapeId="0">
      <text>
        <t>Loan: Webster Capital Finance. Principal = MAX(0, MIN(Opening, Payment - Interest))</t>
      </text>
    </comment>
    <comment ref="F45" authorId="0" shapeId="0">
      <text>
        <t>Loan: Webster Capital Finance. Closing = MAX(0, Opening - Principal)</t>
      </text>
    </comment>
    <comment ref="C46" authorId="0" shapeId="0">
      <text>
        <t>Loan: Webster Capital Finance. Opening = prior month closing balance.</t>
      </text>
    </comment>
    <comment ref="D46" authorId="0" shapeId="0">
      <text>
        <t>Loan: Webster Capital Finance. Interest = MAX(0, Opening * Rate/12)</t>
      </text>
    </comment>
    <comment ref="E46" authorId="0" shapeId="0">
      <text>
        <t>Loan: Webster Capital Finance. Principal = MAX(0, MIN(Opening, Payment - Interest))</t>
      </text>
    </comment>
    <comment ref="F46" authorId="0" shapeId="0">
      <text>
        <t>Loan: Webster Capital Finance. Closing = MAX(0, Opening - Principal)</t>
      </text>
    </comment>
    <comment ref="C47" authorId="0" shapeId="0">
      <text>
        <t>Loan: Webster Capital Finance. Opening = prior month closing balance.</t>
      </text>
    </comment>
    <comment ref="D47" authorId="0" shapeId="0">
      <text>
        <t>Loan: Webster Capital Finance. Interest = MAX(0, Opening * Rate/12)</t>
      </text>
    </comment>
    <comment ref="E47" authorId="0" shapeId="0">
      <text>
        <t>Loan: Webster Capital Finance. Principal = MAX(0, MIN(Opening, Payment - Interest))</t>
      </text>
    </comment>
    <comment ref="F47" authorId="0" shapeId="0">
      <text>
        <t>Loan: Webster Capital Finance. Closing = MAX(0, Opening - Principal)</t>
      </text>
    </comment>
    <comment ref="C48" authorId="0" shapeId="0">
      <text>
        <t>Loan: Webster Capital Finance. Opening = prior month closing balance.</t>
      </text>
    </comment>
    <comment ref="D48" authorId="0" shapeId="0">
      <text>
        <t>Loan: Webster Capital Finance. Interest = MAX(0, Opening * Rate/12)</t>
      </text>
    </comment>
    <comment ref="E48" authorId="0" shapeId="0">
      <text>
        <t>Loan: Webster Capital Finance. Principal = MAX(0, MIN(Opening, Payment - Interest))</t>
      </text>
    </comment>
    <comment ref="F48" authorId="0" shapeId="0">
      <text>
        <t>Loan: Webster Capital Finance. Closing = MAX(0, Opening - Principal)</t>
      </text>
    </comment>
    <comment ref="C49" authorId="0" shapeId="0">
      <text>
        <t>Loan: Webster Capital Finance. Opening = prior month closing balance.</t>
      </text>
    </comment>
    <comment ref="D49" authorId="0" shapeId="0">
      <text>
        <t>Loan: Webster Capital Finance. Interest = MAX(0, Opening * Rate/12)</t>
      </text>
    </comment>
    <comment ref="E49" authorId="0" shapeId="0">
      <text>
        <t>Loan: Webster Capital Finance. Principal = MAX(0, MIN(Opening, Payment - Interest))</t>
      </text>
    </comment>
    <comment ref="F49" authorId="0" shapeId="0">
      <text>
        <t>Loan: Webster Capital Finance. Closing = MAX(0, Opening - Principal)</t>
      </text>
    </comment>
    <comment ref="C50" authorId="0" shapeId="0">
      <text>
        <t>Loan: Webster Capital Finance. Opening = prior month closing balance.</t>
      </text>
    </comment>
    <comment ref="D50" authorId="0" shapeId="0">
      <text>
        <t>Loan: Webster Capital Finance. Interest = MAX(0, Opening * Rate/12)</t>
      </text>
    </comment>
    <comment ref="E50" authorId="0" shapeId="0">
      <text>
        <t>Loan: Webster Capital Finance. Principal = MAX(0, MIN(Opening, Payment - Interest))</t>
      </text>
    </comment>
    <comment ref="F50" authorId="0" shapeId="0">
      <text>
        <t>Loan: Webster Capital Finance. Closing = MAX(0, Opening - Principal)</t>
      </text>
    </comment>
    <comment ref="C51" authorId="0" shapeId="0">
      <text>
        <t>Loan: Webster Capital Finance. Opening = prior month closing balance.</t>
      </text>
    </comment>
    <comment ref="D51" authorId="0" shapeId="0">
      <text>
        <t>Loan: Webster Capital Finance. Interest = MAX(0, Opening * Rate/12)</t>
      </text>
    </comment>
    <comment ref="E51" authorId="0" shapeId="0">
      <text>
        <t>Loan: Webster Capital Finance. Principal = MAX(0, MIN(Opening, Payment - Interest))</t>
      </text>
    </comment>
    <comment ref="F51" authorId="0" shapeId="0">
      <text>
        <t>Loan: Webster Capital Finance. Closing = MAX(0, Opening - Principal)</t>
      </text>
    </comment>
    <comment ref="C52" authorId="0" shapeId="0">
      <text>
        <t>Loan: Webster Capital Finance. Opening = prior month closing balance.</t>
      </text>
    </comment>
    <comment ref="D52" authorId="0" shapeId="0">
      <text>
        <t>Loan: Webster Capital Finance. Interest = MAX(0, Opening * Rate/12)</t>
      </text>
    </comment>
    <comment ref="E52" authorId="0" shapeId="0">
      <text>
        <t>Loan: Webster Capital Finance. Principal = MAX(0, MIN(Opening, Payment - Interest))</t>
      </text>
    </comment>
    <comment ref="F52" authorId="0" shapeId="0">
      <text>
        <t>Loan: Webster Capital Finance. Closing = MAX(0, Opening - Principal)</t>
      </text>
    </comment>
    <comment ref="C53" authorId="0" shapeId="0">
      <text>
        <t>Loan: Webster Capital Finance. Opening = prior month closing balance.</t>
      </text>
    </comment>
    <comment ref="D53" authorId="0" shapeId="0">
      <text>
        <t>Loan: Webster Capital Finance. Interest = MAX(0, Opening * Rate/12)</t>
      </text>
    </comment>
    <comment ref="E53" authorId="0" shapeId="0">
      <text>
        <t>Loan: Webster Capital Finance. Principal = MAX(0, MIN(Opening, Payment - Interest))</t>
      </text>
    </comment>
    <comment ref="F53" authorId="0" shapeId="0">
      <text>
        <t>Loan: Webster Capital Finance. Closing = MAX(0, Opening - Principal)</t>
      </text>
    </comment>
    <comment ref="C54" authorId="0" shapeId="0">
      <text>
        <t>Loan: Webster Capital Finance. Opening = prior month closing balance.</t>
      </text>
    </comment>
    <comment ref="D54" authorId="0" shapeId="0">
      <text>
        <t>Loan: Webster Capital Finance. Interest = MAX(0, Opening * Rate/12)</t>
      </text>
    </comment>
    <comment ref="E54" authorId="0" shapeId="0">
      <text>
        <t>Loan: Webster Capital Finance. Principal = MAX(0, MIN(Opening, Payment - Interest))</t>
      </text>
    </comment>
    <comment ref="F54" authorId="0" shapeId="0">
      <text>
        <t>Loan: Webster Capital Finance. Closing = MAX(0, Opening - Principal)</t>
      </text>
    </comment>
    <comment ref="C55" authorId="0" shapeId="0">
      <text>
        <t>Loan: Webster Capital Finance. Opening = prior month closing balance.</t>
      </text>
    </comment>
    <comment ref="D55" authorId="0" shapeId="0">
      <text>
        <t>Loan: Webster Capital Finance. Interest = MAX(0, Opening * Rate/12)</t>
      </text>
    </comment>
    <comment ref="E55" authorId="0" shapeId="0">
      <text>
        <t>Loan: Webster Capital Finance. Principal = MAX(0, MIN(Opening, Payment - Interest))</t>
      </text>
    </comment>
    <comment ref="F55" authorId="0" shapeId="0">
      <text>
        <t>Loan: Webster Capital Finance. Closing = MAX(0, Opening - Principal)</t>
      </text>
    </comment>
    <comment ref="C56" authorId="0" shapeId="0">
      <text>
        <t>Loan: Webster Capital Finance. Opening = prior month closing balance.</t>
      </text>
    </comment>
    <comment ref="D56" authorId="0" shapeId="0">
      <text>
        <t>Loan: Webster Capital Finance. Interest = MAX(0, Opening * Rate/12)</t>
      </text>
    </comment>
    <comment ref="E56" authorId="0" shapeId="0">
      <text>
        <t>Loan: Webster Capital Finance. Principal = MAX(0, MIN(Opening, Payment - Interest))</t>
      </text>
    </comment>
    <comment ref="F56" authorId="0" shapeId="0">
      <text>
        <t>Loan: Webster Capital Finance. Closing = MAX(0, Opening - Principal)</t>
      </text>
    </comment>
    <comment ref="C57" authorId="0" shapeId="0">
      <text>
        <t>Loan: Webster Capital Finance. Opening = prior month closing balance.</t>
      </text>
    </comment>
    <comment ref="D57" authorId="0" shapeId="0">
      <text>
        <t>Loan: Webster Capital Finance. Interest = MAX(0, Opening * Rate/12)</t>
      </text>
    </comment>
    <comment ref="E57" authorId="0" shapeId="0">
      <text>
        <t>Loan: Webster Capital Finance. Principal = MAX(0, MIN(Opening, Payment - Interest))</t>
      </text>
    </comment>
    <comment ref="F57" authorId="0" shapeId="0">
      <text>
        <t>Loan: Webster Capital Finance. Closing = MAX(0, Opening - Principal)</t>
      </text>
    </comment>
    <comment ref="C58" authorId="0" shapeId="0">
      <text>
        <t>Loan: Webster Capital Finance. Opening = prior month closing balance.</t>
      </text>
    </comment>
    <comment ref="D58" authorId="0" shapeId="0">
      <text>
        <t>Loan: Webster Capital Finance. Interest = MAX(0, Opening * Rate/12)</t>
      </text>
    </comment>
    <comment ref="E58" authorId="0" shapeId="0">
      <text>
        <t>Loan: Webster Capital Finance. Principal = MAX(0, MIN(Opening, Payment - Interest))</t>
      </text>
    </comment>
    <comment ref="F58" authorId="0" shapeId="0">
      <text>
        <t>Loan: Webster Capital Finance. Closing = MAX(0, Opening - Principal)</t>
      </text>
    </comment>
    <comment ref="C59" authorId="0" shapeId="0">
      <text>
        <t>Loan: Webster Capital Finance. Opening = prior month closing balance.</t>
      </text>
    </comment>
    <comment ref="D59" authorId="0" shapeId="0">
      <text>
        <t>Loan: Webster Capital Finance. Interest = MAX(0, Opening * Rate/12)</t>
      </text>
    </comment>
    <comment ref="E59" authorId="0" shapeId="0">
      <text>
        <t>Loan: Webster Capital Finance. Principal = MAX(0, MIN(Opening, Payment - Interest))</t>
      </text>
    </comment>
    <comment ref="F59" authorId="0" shapeId="0">
      <text>
        <t>Loan: Webster Capital Finance. Closing = MAX(0, Opening - Principal)</t>
      </text>
    </comment>
    <comment ref="C60" authorId="0" shapeId="0">
      <text>
        <t>Loan: Webster Capital Finance. Opening = prior month closing balance.</t>
      </text>
    </comment>
    <comment ref="D60" authorId="0" shapeId="0">
      <text>
        <t>Loan: Webster Capital Finance. Interest = MAX(0, Opening * Rate/12)</t>
      </text>
    </comment>
    <comment ref="E60" authorId="0" shapeId="0">
      <text>
        <t>Loan: Webster Capital Finance. Principal = MAX(0, MIN(Opening, Payment - Interest))</t>
      </text>
    </comment>
    <comment ref="F60" authorId="0" shapeId="0">
      <text>
        <t>Loan: Webster Capital Finance. Closing = MAX(0, Opening - Principal)</t>
      </text>
    </comment>
    <comment ref="C61" authorId="0" shapeId="0">
      <text>
        <t>Loan: Webster Capital Finance. Opening = prior month closing balance.</t>
      </text>
    </comment>
    <comment ref="D61" authorId="0" shapeId="0">
      <text>
        <t>Loan: Webster Capital Finance. Interest = MAX(0, Opening * Rate/12)</t>
      </text>
    </comment>
    <comment ref="E61" authorId="0" shapeId="0">
      <text>
        <t>Loan: Webster Capital Finance. Principal = MAX(0, MIN(Opening, Payment - Interest))</t>
      </text>
    </comment>
    <comment ref="F61" authorId="0" shapeId="0">
      <text>
        <t>Loan: Webster Capital Finance. Closing = MAX(0, Opening - Principal)</t>
      </text>
    </comment>
    <comment ref="C62" authorId="0" shapeId="0">
      <text>
        <t>Loan: Webster Capital Finance. Opening = prior month closing balance.</t>
      </text>
    </comment>
    <comment ref="D62" authorId="0" shapeId="0">
      <text>
        <t>Loan: Webster Capital Finance. Interest = MAX(0, Opening * Rate/12)</t>
      </text>
    </comment>
    <comment ref="E62" authorId="0" shapeId="0">
      <text>
        <t>Loan: Webster Capital Finance. Principal = MAX(0, MIN(Opening, Payment - Interest))</t>
      </text>
    </comment>
    <comment ref="F62" authorId="0" shapeId="0">
      <text>
        <t>Loan: Webster Capital Finance. Closing = MAX(0, Opening - Principal)</t>
      </text>
    </comment>
    <comment ref="C63" authorId="0" shapeId="0">
      <text>
        <t>Loan: Webster Capital Finance. Opening = prior month closing balance.</t>
      </text>
    </comment>
    <comment ref="D63" authorId="0" shapeId="0">
      <text>
        <t>Loan: Webster Capital Finance. Interest = MAX(0, Opening * Rate/12)</t>
      </text>
    </comment>
    <comment ref="E63" authorId="0" shapeId="0">
      <text>
        <t>Loan: Webster Capital Finance. Principal = MAX(0, MIN(Opening, Payment - Interest))</t>
      </text>
    </comment>
    <comment ref="F63" authorId="0" shapeId="0">
      <text>
        <t>Loan: Webster Capital Finance. Closing = MAX(0, Opening - Principal)</t>
      </text>
    </comment>
    <comment ref="C64" authorId="0" shapeId="0">
      <text>
        <t>Loan: Webster Capital Finance. Opening = prior month closing balance.</t>
      </text>
    </comment>
    <comment ref="D64" authorId="0" shapeId="0">
      <text>
        <t>Loan: Webster Capital Finance. Interest = MAX(0, Opening * Rate/12)</t>
      </text>
    </comment>
    <comment ref="E64" authorId="0" shapeId="0">
      <text>
        <t>Loan: Webster Capital Finance. Principal = MAX(0, MIN(Opening, Payment - Interest))</t>
      </text>
    </comment>
    <comment ref="F64" authorId="0" shapeId="0">
      <text>
        <t>Loan: Webster Capital Finance. Closing = MAX(0, Opening - Principal)</t>
      </text>
    </comment>
    <comment ref="C65" authorId="0" shapeId="0">
      <text>
        <t>Loan: Webster Capital Finance. Opening = prior month closing balance.</t>
      </text>
    </comment>
    <comment ref="D65" authorId="0" shapeId="0">
      <text>
        <t>Loan: Webster Capital Finance. Interest = MAX(0, Opening * Rate/12)</t>
      </text>
    </comment>
    <comment ref="E65" authorId="0" shapeId="0">
      <text>
        <t>Loan: Webster Capital Finance. Principal = MAX(0, MIN(Opening, Payment - Interest))</t>
      </text>
    </comment>
    <comment ref="F65" authorId="0" shapeId="0">
      <text>
        <t>Loan: Webster Capital Finance. Closing = MAX(0, Opening - Principal)</t>
      </text>
    </comment>
    <comment ref="C66" authorId="0" shapeId="0">
      <text>
        <t>Loan: Webster Capital Finance. Opening = prior month closing balance.</t>
      </text>
    </comment>
    <comment ref="D66" authorId="0" shapeId="0">
      <text>
        <t>Loan: Webster Capital Finance. Interest = MAX(0, Opening * Rate/12)</t>
      </text>
    </comment>
    <comment ref="E66" authorId="0" shapeId="0">
      <text>
        <t>Loan: Webster Capital Finance. Principal = MAX(0, MIN(Opening, Payment - Interest))</t>
      </text>
    </comment>
    <comment ref="F66" authorId="0" shapeId="0">
      <text>
        <t>Loan: Webster Capital Finance. Closing = MAX(0, Opening - Principal)</t>
      </text>
    </comment>
    <comment ref="C67" authorId="0" shapeId="0">
      <text>
        <t>Loan: Webster Capital Finance. Opening = prior month closing balance.</t>
      </text>
    </comment>
    <comment ref="D67" authorId="0" shapeId="0">
      <text>
        <t>Loan: Webster Capital Finance. Interest = MAX(0, Opening * Rate/12)</t>
      </text>
    </comment>
    <comment ref="E67" authorId="0" shapeId="0">
      <text>
        <t>Loan: Webster Capital Finance. Principal = MAX(0, MIN(Opening, Payment - Interest))</t>
      </text>
    </comment>
    <comment ref="F67" authorId="0" shapeId="0">
      <text>
        <t>Loan: Webster Capital Finance. Closing = MAX(0, Opening - Principal)</t>
      </text>
    </comment>
    <comment ref="C72" authorId="0" shapeId="0">
      <text>
        <t>Sum of rows 23-34: Year 2026 opening balance</t>
      </text>
    </comment>
    <comment ref="D72" authorId="0" shapeId="0">
      <text>
        <t>Sum of rows 23-34: Year 2026 interest expense</t>
      </text>
    </comment>
    <comment ref="E72" authorId="0" shapeId="0">
      <text>
        <t>Sum of rows 23-34: Year 2026 principal repaid</t>
      </text>
    </comment>
    <comment ref="F72" authorId="0" shapeId="0">
      <text>
        <t>Sum of rows 23-34: Year 2026 closing balance</t>
      </text>
    </comment>
    <comment ref="C73" authorId="0" shapeId="0">
      <text>
        <t>Sum of rows 35-46: Year 2027 opening balance</t>
      </text>
    </comment>
    <comment ref="D73" authorId="0" shapeId="0">
      <text>
        <t>Sum of rows 35-46: Year 2027 interest expense</t>
      </text>
    </comment>
    <comment ref="E73" authorId="0" shapeId="0">
      <text>
        <t>Sum of rows 35-46: Year 2027 principal repaid</t>
      </text>
    </comment>
    <comment ref="F73" authorId="0" shapeId="0">
      <text>
        <t>Sum of rows 35-46: Year 2027 closing balance</t>
      </text>
    </comment>
    <comment ref="C74" authorId="0" shapeId="0">
      <text>
        <t>Sum of rows 47-58: Year 2028 opening balance</t>
      </text>
    </comment>
    <comment ref="D74" authorId="0" shapeId="0">
      <text>
        <t>Sum of rows 47-58: Year 2028 interest expense</t>
      </text>
    </comment>
    <comment ref="E74" authorId="0" shapeId="0">
      <text>
        <t>Sum of rows 47-58: Year 2028 principal repaid</t>
      </text>
    </comment>
    <comment ref="F74" authorId="0" shapeId="0">
      <text>
        <t>Sum of rows 47-58: Year 2028 closing balance</t>
      </text>
    </comment>
    <comment ref="C75" authorId="0" shapeId="0">
      <text>
        <t>Sum of rows 59-67: Year 2029 opening balance</t>
      </text>
    </comment>
    <comment ref="D75" authorId="0" shapeId="0">
      <text>
        <t>Sum of rows 59-67: Year 2029 interest expense</t>
      </text>
    </comment>
    <comment ref="E75" authorId="0" shapeId="0">
      <text>
        <t>Sum of rows 59-67: Year 2029 principal repaid</t>
      </text>
    </comment>
    <comment ref="F75" authorId="0" shapeId="0">
      <text>
        <t>Sum of rows 59-67: Year 2029 closing balance</t>
      </text>
    </comment>
  </commentList>
</comments>
</file>

<file path=xl/comments/comment80.xml><?xml version="1.0" encoding="utf-8"?>
<comments xmlns="http://schemas.openxmlformats.org/spreadsheetml/2006/main">
  <authors>
    <author>Model Builder</author>
  </authors>
  <commentList>
    <comment ref="B12" authorId="0" shapeId="0">
      <text>
        <t>Source: loans.md - Loan 82
Interest-only loan - principal remains constant until balloon payment.</t>
      </text>
    </comment>
    <comment ref="B13" authorId="0" shapeId="0">
      <text>
        <t>Source: loans.md - Loan 82</t>
      </text>
    </comment>
    <comment ref="B14" authorId="0" shapeId="0">
      <text>
        <t>Source: loans.md - Loan 82
Entire payment is interest expense - no principal reduction.</t>
      </text>
    </comment>
    <comment ref="C26" authorId="0" shapeId="0">
      <text>
        <t>Loan: Commonwealth, INTEREST_ONLY_BALLOON. Balance constant until balloon.</t>
      </text>
    </comment>
    <comment ref="D26" authorId="0" shapeId="0">
      <text>
        <t>Interest-only: entire payment is interest expense.</t>
      </text>
    </comment>
    <comment ref="E26" authorId="0" shapeId="0">
      <text>
        <t>Interest-only loan: no principal amortization until balloon.</t>
      </text>
    </comment>
    <comment ref="F26" authorId="0" shapeId="0">
      <text>
        <t>Interest-only: balance unchanged until balloon payment at maturity.</t>
      </text>
    </comment>
    <comment ref="C27" authorId="0" shapeId="0">
      <text>
        <t>Loan: Commonwealth, INTEREST_ONLY_BALLOON. Balance constant until balloon.</t>
      </text>
    </comment>
    <comment ref="D27" authorId="0" shapeId="0">
      <text>
        <t>Interest-only: entire payment is interest expense.</t>
      </text>
    </comment>
    <comment ref="E27" authorId="0" shapeId="0">
      <text>
        <t>Interest-only loan: no principal amortization until balloon.</t>
      </text>
    </comment>
    <comment ref="F27" authorId="0" shapeId="0">
      <text>
        <t>Interest-only: balance unchanged until balloon payment at maturity.</t>
      </text>
    </comment>
    <comment ref="C28" authorId="0" shapeId="0">
      <text>
        <t>Loan: Commonwealth, INTEREST_ONLY_BALLOON. Balance constant until balloon.</t>
      </text>
    </comment>
    <comment ref="D28" authorId="0" shapeId="0">
      <text>
        <t>Interest-only: entire payment is interest expense.</t>
      </text>
    </comment>
    <comment ref="E28" authorId="0" shapeId="0">
      <text>
        <t>Interest-only loan: no principal amortization until balloon.</t>
      </text>
    </comment>
    <comment ref="F28" authorId="0" shapeId="0">
      <text>
        <t>Interest-only: balance unchanged until balloon payment at maturity.</t>
      </text>
    </comment>
    <comment ref="C29" authorId="0" shapeId="0">
      <text>
        <t>Loan: Commonwealth, INTEREST_ONLY_BALLOON. Balance constant until balloon.</t>
      </text>
    </comment>
    <comment ref="D29" authorId="0" shapeId="0">
      <text>
        <t>Interest-only: entire payment is interest expense.</t>
      </text>
    </comment>
    <comment ref="E29" authorId="0" shapeId="0">
      <text>
        <t>Interest-only loan: no principal amortization until balloon.</t>
      </text>
    </comment>
    <comment ref="F29" authorId="0" shapeId="0">
      <text>
        <t>Interest-only: balance unchanged until balloon payment at maturity.</t>
      </text>
    </comment>
    <comment ref="C30" authorId="0" shapeId="0">
      <text>
        <t>Loan: Commonwealth, INTEREST_ONLY_BALLOON. Balance constant until balloon.</t>
      </text>
    </comment>
    <comment ref="D30" authorId="0" shapeId="0">
      <text>
        <t>Interest-only: entire payment is interest expense.</t>
      </text>
    </comment>
    <comment ref="E30" authorId="0" shapeId="0">
      <text>
        <t>Interest-only loan: no principal amortization until balloon.</t>
      </text>
    </comment>
    <comment ref="F30" authorId="0" shapeId="0">
      <text>
        <t>Interest-only: balance unchanged until balloon payment at maturity.</t>
      </text>
    </comment>
    <comment ref="C31" authorId="0" shapeId="0">
      <text>
        <t>Loan: Commonwealth, INTEREST_ONLY_BALLOON. Balance constant until balloon.</t>
      </text>
    </comment>
    <comment ref="D31" authorId="0" shapeId="0">
      <text>
        <t>Interest-only: entire payment is interest expense.</t>
      </text>
    </comment>
    <comment ref="E31" authorId="0" shapeId="0">
      <text>
        <t>Interest-only loan: no principal amortization until balloon.</t>
      </text>
    </comment>
    <comment ref="F31" authorId="0" shapeId="0">
      <text>
        <t>Interest-only: balance unchanged until balloon payment at maturity.</t>
      </text>
    </comment>
    <comment ref="C32" authorId="0" shapeId="0">
      <text>
        <t>Loan: Commonwealth, INTEREST_ONLY_BALLOON. Balance constant until balloon.</t>
      </text>
    </comment>
    <comment ref="D32" authorId="0" shapeId="0">
      <text>
        <t>Interest-only: entire payment is interest expense.</t>
      </text>
    </comment>
    <comment ref="E32" authorId="0" shapeId="0">
      <text>
        <t>Interest-only loan: no principal amortization until balloon.</t>
      </text>
    </comment>
    <comment ref="F32" authorId="0" shapeId="0">
      <text>
        <t>Interest-only: balance unchanged until balloon payment at maturity.</t>
      </text>
    </comment>
    <comment ref="C33" authorId="0" shapeId="0">
      <text>
        <t>Loan: Commonwealth, INTEREST_ONLY_BALLOON. Balance constant until balloon.</t>
      </text>
    </comment>
    <comment ref="D33" authorId="0" shapeId="0">
      <text>
        <t>Interest-only: entire payment is interest expense.</t>
      </text>
    </comment>
    <comment ref="E33" authorId="0" shapeId="0">
      <text>
        <t>Interest-only loan: no principal amortization until balloon.</t>
      </text>
    </comment>
    <comment ref="F33" authorId="0" shapeId="0">
      <text>
        <t>Interest-only: balance unchanged until balloon payment at maturity.</t>
      </text>
    </comment>
    <comment ref="C34" authorId="0" shapeId="0">
      <text>
        <t>Loan: Commonwealth, INTEREST_ONLY_BALLOON. Balance constant until balloon.</t>
      </text>
    </comment>
    <comment ref="D34" authorId="0" shapeId="0">
      <text>
        <t>Interest-only: entire payment is interest expense.</t>
      </text>
    </comment>
    <comment ref="E34" authorId="0" shapeId="0">
      <text>
        <t>Interest-only loan: no principal amortization until balloon.</t>
      </text>
    </comment>
    <comment ref="F34" authorId="0" shapeId="0">
      <text>
        <t>Interest-only: balance unchanged until balloon payment at maturity.</t>
      </text>
    </comment>
    <comment ref="C35" authorId="0" shapeId="0">
      <text>
        <t>Loan: Commonwealth, INTEREST_ONLY_BALLOON. Balance constant until balloon.</t>
      </text>
    </comment>
    <comment ref="D35" authorId="0" shapeId="0">
      <text>
        <t>Interest-only: entire payment is interest expense.</t>
      </text>
    </comment>
    <comment ref="E35" authorId="0" shapeId="0">
      <text>
        <t>Interest-only loan: no principal amortization until balloon.</t>
      </text>
    </comment>
    <comment ref="F35" authorId="0" shapeId="0">
      <text>
        <t>Interest-only: balance unchanged until balloon payment at maturity.</t>
      </text>
    </comment>
    <comment ref="C36" authorId="0" shapeId="0">
      <text>
        <t>Loan: Commonwealth, INTEREST_ONLY_BALLOON. Balance constant until balloon.</t>
      </text>
    </comment>
    <comment ref="D36" authorId="0" shapeId="0">
      <text>
        <t>Interest-only: entire payment is interest expense.</t>
      </text>
    </comment>
    <comment ref="E36" authorId="0" shapeId="0">
      <text>
        <t>Interest-only loan: no principal amortization until balloon.</t>
      </text>
    </comment>
    <comment ref="F36" authorId="0" shapeId="0">
      <text>
        <t>Interest-only: balance unchanged until balloon payment at maturity.</t>
      </text>
    </comment>
    <comment ref="C37" authorId="0" shapeId="0">
      <text>
        <t>Loan: Commonwealth, INTEREST_ONLY_BALLOON. Balance constant until balloon.</t>
      </text>
    </comment>
    <comment ref="D37" authorId="0" shapeId="0">
      <text>
        <t>Interest-only: entire payment is interest expense.</t>
      </text>
    </comment>
    <comment ref="E37" authorId="0" shapeId="0">
      <text>
        <t>Interest-only loan: no principal amortization until balloon.</t>
      </text>
    </comment>
    <comment ref="F37" authorId="0" shapeId="0">
      <text>
        <t>Interest-only: balance unchanged until balloon payment at maturity.</t>
      </text>
    </comment>
    <comment ref="C38" authorId="0" shapeId="0">
      <text>
        <t>Loan: Commonwealth, INTEREST_ONLY_BALLOON. Balance constant until balloon.</t>
      </text>
    </comment>
    <comment ref="D38" authorId="0" shapeId="0">
      <text>
        <t>Interest-only: entire payment is interest expense.</t>
      </text>
    </comment>
    <comment ref="E38" authorId="0" shapeId="0">
      <text>
        <t>Interest-only loan: no principal amortization until balloon.</t>
      </text>
    </comment>
    <comment ref="F38" authorId="0" shapeId="0">
      <text>
        <t>Interest-only: balance unchanged until balloon payment at maturity.</t>
      </text>
    </comment>
    <comment ref="C39" authorId="0" shapeId="0">
      <text>
        <t>Loan: Commonwealth, INTEREST_ONLY_BALLOON. Balance constant until balloon.</t>
      </text>
    </comment>
    <comment ref="D39" authorId="0" shapeId="0">
      <text>
        <t>Interest-only: entire payment is interest expense.</t>
      </text>
    </comment>
    <comment ref="E39" authorId="0" shapeId="0">
      <text>
        <t>Interest-only loan: no principal amortization until balloon.</t>
      </text>
    </comment>
    <comment ref="F39" authorId="0" shapeId="0">
      <text>
        <t>Interest-only: balance unchanged until balloon payment at maturity.</t>
      </text>
    </comment>
    <comment ref="C40" authorId="0" shapeId="0">
      <text>
        <t>Loan: Commonwealth, INTEREST_ONLY_BALLOON. Balance constant until balloon.</t>
      </text>
    </comment>
    <comment ref="D40" authorId="0" shapeId="0">
      <text>
        <t>Interest-only: entire payment is interest expense.</t>
      </text>
    </comment>
    <comment ref="E40" authorId="0" shapeId="0">
      <text>
        <t>Interest-only loan: no principal amortization until balloon.</t>
      </text>
    </comment>
    <comment ref="F40" authorId="0" shapeId="0">
      <text>
        <t>Interest-only: balance unchanged until balloon payment at maturity.</t>
      </text>
    </comment>
    <comment ref="C41" authorId="0" shapeId="0">
      <text>
        <t>Loan: Commonwealth, INTEREST_ONLY_BALLOON. Balance constant until balloon.</t>
      </text>
    </comment>
    <comment ref="D41" authorId="0" shapeId="0">
      <text>
        <t>Interest-only: entire payment is interest expense.</t>
      </text>
    </comment>
    <comment ref="E41" authorId="0" shapeId="0">
      <text>
        <t>Interest-only loan: no principal amortization until balloon.</t>
      </text>
    </comment>
    <comment ref="F41" authorId="0" shapeId="0">
      <text>
        <t>Interest-only: balance unchanged until balloon payment at maturity.</t>
      </text>
    </comment>
    <comment ref="C42" authorId="0" shapeId="0">
      <text>
        <t>Loan: Commonwealth, INTEREST_ONLY_BALLOON. Balance constant until balloon.</t>
      </text>
    </comment>
    <comment ref="D42" authorId="0" shapeId="0">
      <text>
        <t>Interest-only: entire payment is interest expense.</t>
      </text>
    </comment>
    <comment ref="E42" authorId="0" shapeId="0">
      <text>
        <t>Interest-only loan: no principal amortization until balloon.</t>
      </text>
    </comment>
    <comment ref="F42" authorId="0" shapeId="0">
      <text>
        <t>Interest-only: balance unchanged until balloon payment at maturity.</t>
      </text>
    </comment>
    <comment ref="C43" authorId="0" shapeId="0">
      <text>
        <t>Loan: Commonwealth, INTEREST_ONLY_BALLOON. Balance constant until balloon.</t>
      </text>
    </comment>
    <comment ref="D43" authorId="0" shapeId="0">
      <text>
        <t>Interest-only: entire payment is interest expense.</t>
      </text>
    </comment>
    <comment ref="E43" authorId="0" shapeId="0">
      <text>
        <t>Interest-only loan: no principal amortization until balloon.</t>
      </text>
    </comment>
    <comment ref="F43" authorId="0" shapeId="0">
      <text>
        <t>Interest-only: balance unchanged until balloon payment at maturity.</t>
      </text>
    </comment>
    <comment ref="C44" authorId="0" shapeId="0">
      <text>
        <t>Loan: Commonwealth, INTEREST_ONLY_BALLOON. Balance constant until balloon.</t>
      </text>
    </comment>
    <comment ref="D44" authorId="0" shapeId="0">
      <text>
        <t>Interest-only: entire payment is interest expense.</t>
      </text>
    </comment>
    <comment ref="E44" authorId="0" shapeId="0">
      <text>
        <t>Interest-only loan: no principal amortization until balloon.</t>
      </text>
    </comment>
    <comment ref="F44" authorId="0" shapeId="0">
      <text>
        <t>Interest-only: balance unchanged until balloon payment at maturity.</t>
      </text>
    </comment>
    <comment ref="C45" authorId="0" shapeId="0">
      <text>
        <t>Loan: Commonwealth, INTEREST_ONLY_BALLOON. Balance constant until balloon.</t>
      </text>
    </comment>
    <comment ref="D45" authorId="0" shapeId="0">
      <text>
        <t>Interest-only: entire payment is interest expense.</t>
      </text>
    </comment>
    <comment ref="E45" authorId="0" shapeId="0">
      <text>
        <t>Interest-only loan: no principal amortization until balloon.</t>
      </text>
    </comment>
    <comment ref="F45" authorId="0" shapeId="0">
      <text>
        <t>Interest-only: balance unchanged until balloon payment at maturity.</t>
      </text>
    </comment>
    <comment ref="C46" authorId="0" shapeId="0">
      <text>
        <t>Loan: Commonwealth, INTEREST_ONLY_BALLOON. Balance constant until balloon.</t>
      </text>
    </comment>
    <comment ref="D46" authorId="0" shapeId="0">
      <text>
        <t>Interest-only: entire payment is interest expense.</t>
      </text>
    </comment>
    <comment ref="E46" authorId="0" shapeId="0">
      <text>
        <t>Interest-only loan: no principal amortization until balloon.</t>
      </text>
    </comment>
    <comment ref="F46" authorId="0" shapeId="0">
      <text>
        <t>Interest-only: balance unchanged until balloon payment at maturity.</t>
      </text>
    </comment>
    <comment ref="C47" authorId="0" shapeId="0">
      <text>
        <t>Loan: Commonwealth, INTEREST_ONLY_BALLOON. Balance constant until balloon.</t>
      </text>
    </comment>
    <comment ref="D47" authorId="0" shapeId="0">
      <text>
        <t>Interest-only: entire payment is interest expense.</t>
      </text>
    </comment>
    <comment ref="E47" authorId="0" shapeId="0">
      <text>
        <t>Interest-only loan: no principal amortization until balloon.</t>
      </text>
    </comment>
    <comment ref="F47" authorId="0" shapeId="0">
      <text>
        <t>Interest-only: balance unchanged until balloon payment at maturity.</t>
      </text>
    </comment>
    <comment ref="C48" authorId="0" shapeId="0">
      <text>
        <t>Loan: Commonwealth, INTEREST_ONLY_BALLOON. Balance constant until balloon.</t>
      </text>
    </comment>
    <comment ref="D48" authorId="0" shapeId="0">
      <text>
        <t>Interest-only: entire payment is interest expense.</t>
      </text>
    </comment>
    <comment ref="E48" authorId="0" shapeId="0">
      <text>
        <t>Interest-only loan: no principal amortization until balloon.</t>
      </text>
    </comment>
    <comment ref="F48" authorId="0" shapeId="0">
      <text>
        <t>Interest-only: balance unchanged until balloon payment at maturity.</t>
      </text>
    </comment>
    <comment ref="C49" authorId="0" shapeId="0">
      <text>
        <t>Loan: Commonwealth, INTEREST_ONLY_BALLOON. Balance constant until balloon.</t>
      </text>
    </comment>
    <comment ref="D49" authorId="0" shapeId="0">
      <text>
        <t>Interest-only: entire payment is interest expense.</t>
      </text>
    </comment>
    <comment ref="E49" authorId="0" shapeId="0">
      <text>
        <t>Interest-only loan: no principal amortization until balloon.</t>
      </text>
    </comment>
    <comment ref="F49" authorId="0" shapeId="0">
      <text>
        <t>Interest-only: balance unchanged until balloon payment at maturity.</t>
      </text>
    </comment>
    <comment ref="C50" authorId="0" shapeId="0">
      <text>
        <t>Loan: Commonwealth, INTEREST_ONLY_BALLOON. Balance constant until balloon.</t>
      </text>
    </comment>
    <comment ref="D50" authorId="0" shapeId="0">
      <text>
        <t>Interest-only: entire payment is interest expense.</t>
      </text>
    </comment>
    <comment ref="E50" authorId="0" shapeId="0">
      <text>
        <t>Interest-only loan: no principal amortization until balloon.</t>
      </text>
    </comment>
    <comment ref="F50" authorId="0" shapeId="0">
      <text>
        <t>Interest-only: balance unchanged until balloon payment at maturity.</t>
      </text>
    </comment>
    <comment ref="C51" authorId="0" shapeId="0">
      <text>
        <t>Loan: Commonwealth, INTEREST_ONLY_BALLOON. Balance constant until balloon.</t>
      </text>
    </comment>
    <comment ref="D51" authorId="0" shapeId="0">
      <text>
        <t>Interest-only: entire payment is interest expense.</t>
      </text>
    </comment>
    <comment ref="E51" authorId="0" shapeId="0">
      <text>
        <t>Interest-only loan: no principal amortization until balloon.</t>
      </text>
    </comment>
    <comment ref="F51" authorId="0" shapeId="0">
      <text>
        <t>Interest-only: balance unchanged until balloon payment at maturity.</t>
      </text>
    </comment>
    <comment ref="C52" authorId="0" shapeId="0">
      <text>
        <t>Loan: Commonwealth, INTEREST_ONLY_BALLOON. Balance constant until balloon.</t>
      </text>
    </comment>
    <comment ref="D52" authorId="0" shapeId="0">
      <text>
        <t>Interest-only: entire payment is interest expense.</t>
      </text>
    </comment>
    <comment ref="E52" authorId="0" shapeId="0">
      <text>
        <t>Interest-only loan: no principal amortization until balloon.</t>
      </text>
    </comment>
    <comment ref="F52" authorId="0" shapeId="0">
      <text>
        <t>Interest-only: balance unchanged until balloon payment at maturity.</t>
      </text>
    </comment>
    <comment ref="C53" authorId="0" shapeId="0">
      <text>
        <t>Loan: Commonwealth, INTEREST_ONLY_BALLOON. Balance constant until balloon.</t>
      </text>
    </comment>
    <comment ref="D53" authorId="0" shapeId="0">
      <text>
        <t>Interest-only: entire payment is interest expense.</t>
      </text>
    </comment>
    <comment ref="E53" authorId="0" shapeId="0">
      <text>
        <t>Interest-only loan: no principal amortization until balloon.</t>
      </text>
    </comment>
    <comment ref="F53" authorId="0" shapeId="0">
      <text>
        <t>Interest-only: balance unchanged until balloon payment at maturity.</t>
      </text>
    </comment>
    <comment ref="C54" authorId="0" shapeId="0">
      <text>
        <t>Loan: Commonwealth, INTEREST_ONLY_BALLOON. Balance constant until balloon.</t>
      </text>
    </comment>
    <comment ref="D54" authorId="0" shapeId="0">
      <text>
        <t>Interest-only: entire payment is interest expense.</t>
      </text>
    </comment>
    <comment ref="E54" authorId="0" shapeId="0">
      <text>
        <t>Interest-only loan: no principal amortization until balloon.</t>
      </text>
    </comment>
    <comment ref="F54" authorId="0" shapeId="0">
      <text>
        <t>Interest-only: balance unchanged until balloon payment at maturity.</t>
      </text>
    </comment>
    <comment ref="C55" authorId="0" shapeId="0">
      <text>
        <t>Loan: Commonwealth, INTEREST_ONLY_BALLOON. Balance constant until balloon.</t>
      </text>
    </comment>
    <comment ref="D55" authorId="0" shapeId="0">
      <text>
        <t>Interest-only: entire payment is interest expense.</t>
      </text>
    </comment>
    <comment ref="E55" authorId="0" shapeId="0">
      <text>
        <t>Interest-only loan: no principal amortization until balloon.</t>
      </text>
    </comment>
    <comment ref="F55" authorId="0" shapeId="0">
      <text>
        <t>Interest-only: balance unchanged until balloon payment at maturity.</t>
      </text>
    </comment>
    <comment ref="C56" authorId="0" shapeId="0">
      <text>
        <t>Loan: Commonwealth, INTEREST_ONLY_BALLOON. Balance constant until balloon.</t>
      </text>
    </comment>
    <comment ref="D56" authorId="0" shapeId="0">
      <text>
        <t>Interest-only: entire payment is interest expense.</t>
      </text>
    </comment>
    <comment ref="E56" authorId="0" shapeId="0">
      <text>
        <t>Interest-only loan: no principal amortization until balloon.</t>
      </text>
    </comment>
    <comment ref="F56" authorId="0" shapeId="0">
      <text>
        <t>Interest-only: balance unchanged until balloon payment at maturity.</t>
      </text>
    </comment>
    <comment ref="C57" authorId="0" shapeId="0">
      <text>
        <t>Loan: Commonwealth, INTEREST_ONLY_BALLOON. Balance constant until balloon.</t>
      </text>
    </comment>
    <comment ref="D57" authorId="0" shapeId="0">
      <text>
        <t>Interest-only: entire payment is interest expense.</t>
      </text>
    </comment>
    <comment ref="E57" authorId="0" shapeId="0">
      <text>
        <t>Interest-only loan: no principal amortization until balloon.</t>
      </text>
    </comment>
    <comment ref="F57" authorId="0" shapeId="0">
      <text>
        <t>Interest-only: balance unchanged until balloon payment at maturity.</t>
      </text>
    </comment>
    <comment ref="C58" authorId="0" shapeId="0">
      <text>
        <t>Loan: Commonwealth, INTEREST_ONLY_BALLOON. Balance constant until balloon.</t>
      </text>
    </comment>
    <comment ref="D58" authorId="0" shapeId="0">
      <text>
        <t>Interest-only: entire payment is interest expense.</t>
      </text>
    </comment>
    <comment ref="E58" authorId="0" shapeId="0">
      <text>
        <t>Interest-only loan: no principal amortization until balloon.</t>
      </text>
    </comment>
    <comment ref="F58" authorId="0" shapeId="0">
      <text>
        <t>Interest-only: balance unchanged until balloon payment at maturity.</t>
      </text>
    </comment>
    <comment ref="C59" authorId="0" shapeId="0">
      <text>
        <t>Loan: Commonwealth, INTEREST_ONLY_BALLOON. Balance constant until balloon.</t>
      </text>
    </comment>
    <comment ref="D59" authorId="0" shapeId="0">
      <text>
        <t>Interest-only: entire payment is interest expense.</t>
      </text>
    </comment>
    <comment ref="E59" authorId="0" shapeId="0">
      <text>
        <t>Interest-only loan: no principal amortization until balloon.</t>
      </text>
    </comment>
    <comment ref="F59" authorId="0" shapeId="0">
      <text>
        <t>Interest-only: balance unchanged until balloon payment at maturity.</t>
      </text>
    </comment>
    <comment ref="C60" authorId="0" shapeId="0">
      <text>
        <t>Loan: Commonwealth, INTEREST_ONLY_BALLOON. Balance constant until balloon.</t>
      </text>
    </comment>
    <comment ref="D60" authorId="0" shapeId="0">
      <text>
        <t>Interest-only: entire payment is interest expense.</t>
      </text>
    </comment>
    <comment ref="E60" authorId="0" shapeId="0">
      <text>
        <t>Interest-only loan: no principal amortization until balloon.</t>
      </text>
    </comment>
    <comment ref="F60" authorId="0" shapeId="0">
      <text>
        <t>Interest-only: balance unchanged until balloon payment at maturity.</t>
      </text>
    </comment>
    <comment ref="C61" authorId="0" shapeId="0">
      <text>
        <t>Loan: Commonwealth, INTEREST_ONLY_BALLOON. Balance constant until balloon.</t>
      </text>
    </comment>
    <comment ref="D61" authorId="0" shapeId="0">
      <text>
        <t>Interest-only: entire payment is interest expense.</t>
      </text>
    </comment>
    <comment ref="E61" authorId="0" shapeId="0">
      <text>
        <t>Interest-only loan: no principal amortization until balloon.</t>
      </text>
    </comment>
    <comment ref="F61" authorId="0" shapeId="0">
      <text>
        <t>Interest-only: balance unchanged until balloon payment at maturity.</t>
      </text>
    </comment>
    <comment ref="C62" authorId="0" shapeId="0">
      <text>
        <t>Loan: Commonwealth, INTEREST_ONLY_BALLOON. Balance constant until balloon.</t>
      </text>
    </comment>
    <comment ref="D62" authorId="0" shapeId="0">
      <text>
        <t>Interest-only: entire payment is interest expense.</t>
      </text>
    </comment>
    <comment ref="E62" authorId="0" shapeId="0">
      <text>
        <t>Interest-only loan: no principal amortization until balloon.</t>
      </text>
    </comment>
    <comment ref="F62" authorId="0" shapeId="0">
      <text>
        <t>Interest-only: balance unchanged until balloon payment at maturity.</t>
      </text>
    </comment>
    <comment ref="C63" authorId="0" shapeId="0">
      <text>
        <t>Loan: Commonwealth, INTEREST_ONLY_BALLOON. Balance constant until balloon.</t>
      </text>
    </comment>
    <comment ref="D63" authorId="0" shapeId="0">
      <text>
        <t>Interest-only: entire payment is interest expense.</t>
      </text>
    </comment>
    <comment ref="E63" authorId="0" shapeId="0">
      <text>
        <t>Interest-only loan: no principal amortization until balloon.</t>
      </text>
    </comment>
    <comment ref="F63" authorId="0" shapeId="0">
      <text>
        <t>Interest-only: balance unchanged until balloon payment at maturity.</t>
      </text>
    </comment>
    <comment ref="C64" authorId="0" shapeId="0">
      <text>
        <t>Loan: Commonwealth, INTEREST_ONLY_BALLOON. Balance constant until balloon.</t>
      </text>
    </comment>
    <comment ref="D64" authorId="0" shapeId="0">
      <text>
        <t>Interest-only: entire payment is interest expense.</t>
      </text>
    </comment>
    <comment ref="E64" authorId="0" shapeId="0">
      <text>
        <t>Interest-only loan: no principal amortization until balloon.</t>
      </text>
    </comment>
    <comment ref="F64" authorId="0" shapeId="0">
      <text>
        <t>Interest-only: balance unchanged until balloon payment at maturity.</t>
      </text>
    </comment>
    <comment ref="C65" authorId="0" shapeId="0">
      <text>
        <t>Loan: Commonwealth, INTEREST_ONLY_BALLOON. Balance constant until balloon.</t>
      </text>
    </comment>
    <comment ref="D65" authorId="0" shapeId="0">
      <text>
        <t>Interest-only: entire payment is interest expense.</t>
      </text>
    </comment>
    <comment ref="E65" authorId="0" shapeId="0">
      <text>
        <t>Interest-only loan: no principal amortization until balloon.</t>
      </text>
    </comment>
    <comment ref="F65" authorId="0" shapeId="0">
      <text>
        <t>Interest-only: balance unchanged until balloon payment at maturity.</t>
      </text>
    </comment>
    <comment ref="C66" authorId="0" shapeId="0">
      <text>
        <t>Loan: Commonwealth, INTEREST_ONLY_BALLOON. Balance constant until balloon.</t>
      </text>
    </comment>
    <comment ref="D66" authorId="0" shapeId="0">
      <text>
        <t>Interest-only: entire payment is interest expense.</t>
      </text>
    </comment>
    <comment ref="E66" authorId="0" shapeId="0">
      <text>
        <t>Interest-only loan: no principal amortization until balloon.</t>
      </text>
    </comment>
    <comment ref="F66" authorId="0" shapeId="0">
      <text>
        <t>Interest-only: balance unchanged until balloon payment at maturity.</t>
      </text>
    </comment>
    <comment ref="C67" authorId="0" shapeId="0">
      <text>
        <t>Loan: Commonwealth, INTEREST_ONLY_BALLOON. Balance constant until balloon.</t>
      </text>
    </comment>
    <comment ref="D67" authorId="0" shapeId="0">
      <text>
        <t>Interest-only: entire payment is interest expense.</t>
      </text>
    </comment>
    <comment ref="E67" authorId="0" shapeId="0">
      <text>
        <t>Interest-only loan: no principal amortization until balloon.</t>
      </text>
    </comment>
    <comment ref="F67" authorId="0" shapeId="0">
      <text>
        <t>Interest-only: balance unchanged until balloon payment at maturity.</t>
      </text>
    </comment>
    <comment ref="C68" authorId="0" shapeId="0">
      <text>
        <t>Loan: Commonwealth, INTEREST_ONLY_BALLOON. Balance constant until balloon.</t>
      </text>
    </comment>
    <comment ref="D68" authorId="0" shapeId="0">
      <text>
        <t>Interest-only: entire payment is interest expense.</t>
      </text>
    </comment>
    <comment ref="E68" authorId="0" shapeId="0">
      <text>
        <t>Interest-only loan: no principal amortization until balloon.</t>
      </text>
    </comment>
    <comment ref="F68" authorId="0" shapeId="0">
      <text>
        <t>Interest-only: balance unchanged until balloon payment at maturity.</t>
      </text>
    </comment>
    <comment ref="C69" authorId="0" shapeId="0">
      <text>
        <t>Loan: Commonwealth, INTEREST_ONLY_BALLOON. Balance constant until balloon.</t>
      </text>
    </comment>
    <comment ref="D69" authorId="0" shapeId="0">
      <text>
        <t>Interest-only: entire payment is interest expense.</t>
      </text>
    </comment>
    <comment ref="E69" authorId="0" shapeId="0">
      <text>
        <t>Interest-only loan: no principal amortization until balloon.</t>
      </text>
    </comment>
    <comment ref="F69" authorId="0" shapeId="0">
      <text>
        <t>Interest-only: balance unchanged until balloon payment at maturity.</t>
      </text>
    </comment>
    <comment ref="C70" authorId="0" shapeId="0">
      <text>
        <t>Loan: Commonwealth, INTEREST_ONLY_BALLOON. Balance constant until balloon.</t>
      </text>
    </comment>
    <comment ref="D70" authorId="0" shapeId="0">
      <text>
        <t>Interest-only: entire payment is interest expense.</t>
      </text>
    </comment>
    <comment ref="E70" authorId="0" shapeId="0">
      <text>
        <t>Interest-only loan: no principal amortization until balloon.</t>
      </text>
    </comment>
    <comment ref="F70" authorId="0" shapeId="0">
      <text>
        <t>Interest-only: balance unchanged until balloon payment at maturity.</t>
      </text>
    </comment>
    <comment ref="C71" authorId="0" shapeId="0">
      <text>
        <t>Loan: Commonwealth, INTEREST_ONLY_BALLOON. Balance constant until balloon.</t>
      </text>
    </comment>
    <comment ref="D71" authorId="0" shapeId="0">
      <text>
        <t>Interest-only: entire payment is interest expense.</t>
      </text>
    </comment>
    <comment ref="E71" authorId="0" shapeId="0">
      <text>
        <t>Interest-only loan: no principal amortization until balloon.</t>
      </text>
    </comment>
    <comment ref="F71" authorId="0" shapeId="0">
      <text>
        <t>Interest-only: balance unchanged until balloon payment at maturity.</t>
      </text>
    </comment>
    <comment ref="C72" authorId="0" shapeId="0">
      <text>
        <t>Loan: Commonwealth, INTEREST_ONLY_BALLOON. Balance constant until balloon.</t>
      </text>
    </comment>
    <comment ref="D72" authorId="0" shapeId="0">
      <text>
        <t>Interest-only: entire payment is interest expense.</t>
      </text>
    </comment>
    <comment ref="E72" authorId="0" shapeId="0">
      <text>
        <t>Interest-only loan: no principal amortization until balloon.</t>
      </text>
    </comment>
    <comment ref="F72" authorId="0" shapeId="0">
      <text>
        <t>Interest-only: balance unchanged until balloon payment at maturity.</t>
      </text>
    </comment>
    <comment ref="C73" authorId="0" shapeId="0">
      <text>
        <t>Loan: Commonwealth, INTEREST_ONLY_BALLOON. Balance constant until balloon.</t>
      </text>
    </comment>
    <comment ref="D73" authorId="0" shapeId="0">
      <text>
        <t>Interest-only: entire payment is interest expense.</t>
      </text>
    </comment>
    <comment ref="E73" authorId="0" shapeId="0">
      <text>
        <t>Interest-only loan: no principal amortization until balloon.</t>
      </text>
    </comment>
    <comment ref="F73" authorId="0" shapeId="0">
      <text>
        <t>Interest-only: balance unchanged until balloon payment at maturity.</t>
      </text>
    </comment>
    <comment ref="C74" authorId="0" shapeId="0">
      <text>
        <t>Loan: Commonwealth, INTEREST_ONLY_BALLOON. Balance constant until balloon.</t>
      </text>
    </comment>
    <comment ref="D74" authorId="0" shapeId="0">
      <text>
        <t>Interest-only: entire payment is interest expense.</t>
      </text>
    </comment>
    <comment ref="E74" authorId="0" shapeId="0">
      <text>
        <t>Interest-only loan: no principal amortization until balloon.</t>
      </text>
    </comment>
    <comment ref="F74" authorId="0" shapeId="0">
      <text>
        <t>Interest-only: balance unchanged until balloon payment at maturity.</t>
      </text>
    </comment>
    <comment ref="C75" authorId="0" shapeId="0">
      <text>
        <t>Loan: Commonwealth, INTEREST_ONLY_BALLOON. Balance constant until balloon.</t>
      </text>
    </comment>
    <comment ref="D75" authorId="0" shapeId="0">
      <text>
        <t>Interest-only: entire payment is interest expense.</t>
      </text>
    </comment>
    <comment ref="E75" authorId="0" shapeId="0">
      <text>
        <t>Interest-only loan: no principal amortization until balloon.</t>
      </text>
    </comment>
    <comment ref="F75" authorId="0" shapeId="0">
      <text>
        <t>Interest-only: balance unchanged until balloon payment at maturity.</t>
      </text>
    </comment>
    <comment ref="C76" authorId="0" shapeId="0">
      <text>
        <t>Loan: Commonwealth, INTEREST_ONLY_BALLOON. Balance constant until balloon.</t>
      </text>
    </comment>
    <comment ref="D76" authorId="0" shapeId="0">
      <text>
        <t>Interest-only: entire payment is interest expense.</t>
      </text>
    </comment>
    <comment ref="E76" authorId="0" shapeId="0">
      <text>
        <t>Interest-only loan: no principal amortization until balloon.</t>
      </text>
    </comment>
    <comment ref="F76" authorId="0" shapeId="0">
      <text>
        <t>Interest-only: balance unchanged until balloon payment at maturity.</t>
      </text>
    </comment>
    <comment ref="C77" authorId="0" shapeId="0">
      <text>
        <t>Loan: Commonwealth, INTEREST_ONLY_BALLOON. Balance constant until balloon.</t>
      </text>
    </comment>
    <comment ref="D77" authorId="0" shapeId="0">
      <text>
        <t>Interest-only: entire payment is interest expense.</t>
      </text>
    </comment>
    <comment ref="E77" authorId="0" shapeId="0">
      <text>
        <t>Interest-only loan: no principal amortization until balloon.</t>
      </text>
    </comment>
    <comment ref="F77" authorId="0" shapeId="0">
      <text>
        <t>Interest-only: balance unchanged until balloon payment at maturity.</t>
      </text>
    </comment>
    <comment ref="C78" authorId="0" shapeId="0">
      <text>
        <t>Loan: Commonwealth, INTEREST_ONLY_BALLOON. Balance constant until balloon.</t>
      </text>
    </comment>
    <comment ref="D78" authorId="0" shapeId="0">
      <text>
        <t>Interest-only: entire payment is interest expense.</t>
      </text>
    </comment>
    <comment ref="E78" authorId="0" shapeId="0">
      <text>
        <t>Interest-only loan: no principal amortization until balloon.</t>
      </text>
    </comment>
    <comment ref="F78" authorId="0" shapeId="0">
      <text>
        <t>Interest-only: balance unchanged until balloon payment at maturity.</t>
      </text>
    </comment>
    <comment ref="C79" authorId="0" shapeId="0">
      <text>
        <t>Loan: Commonwealth, INTEREST_ONLY_BALLOON. Balance constant until balloon.</t>
      </text>
    </comment>
    <comment ref="D79" authorId="0" shapeId="0">
      <text>
        <t>Interest-only: entire payment is interest expense.</t>
      </text>
    </comment>
    <comment ref="E79" authorId="0" shapeId="0">
      <text>
        <t>Interest-only loan: no principal amortization until balloon.</t>
      </text>
    </comment>
    <comment ref="F79" authorId="0" shapeId="0">
      <text>
        <t>Interest-only: balance unchanged until balloon payment at maturity.</t>
      </text>
    </comment>
    <comment ref="C80" authorId="0" shapeId="0">
      <text>
        <t>Loan: Commonwealth, INTEREST_ONLY_BALLOON. Balance constant until balloon.</t>
      </text>
    </comment>
    <comment ref="D80" authorId="0" shapeId="0">
      <text>
        <t>Interest-only: entire payment is interest expense.</t>
      </text>
    </comment>
    <comment ref="E80" authorId="0" shapeId="0">
      <text>
        <t>Interest-only loan: no principal amortization until balloon.</t>
      </text>
    </comment>
    <comment ref="F80" authorId="0" shapeId="0">
      <text>
        <t>Interest-only: balance unchanged until balloon payment at maturity.</t>
      </text>
    </comment>
    <comment ref="C81" authorId="0" shapeId="0">
      <text>
        <t>Loan: Commonwealth, INTEREST_ONLY_BALLOON. Balance constant until balloon.</t>
      </text>
    </comment>
    <comment ref="D81" authorId="0" shapeId="0">
      <text>
        <t>Interest-only: entire payment is interest expense.</t>
      </text>
    </comment>
    <comment ref="E81" authorId="0" shapeId="0">
      <text>
        <t>Interest-only loan: no principal amortization until balloon.</t>
      </text>
    </comment>
    <comment ref="F81" authorId="0" shapeId="0">
      <text>
        <t>Interest-only: balance unchanged until balloon payment at maturity.</t>
      </text>
    </comment>
    <comment ref="C82" authorId="0" shapeId="0">
      <text>
        <t>Loan: Commonwealth, INTEREST_ONLY_BALLOON. Balance constant until balloon.</t>
      </text>
    </comment>
    <comment ref="D82" authorId="0" shapeId="0">
      <text>
        <t>Interest-only: entire payment is interest expense.</t>
      </text>
    </comment>
    <comment ref="E82" authorId="0" shapeId="0">
      <text>
        <t>Interest-only loan: no principal amortization until balloon.</t>
      </text>
    </comment>
    <comment ref="F82" authorId="0" shapeId="0">
      <text>
        <t>Interest-only: balance unchanged until balloon payment at maturity.</t>
      </text>
    </comment>
    <comment ref="C83" authorId="0" shapeId="0">
      <text>
        <t>Loan: Commonwealth, INTEREST_ONLY_BALLOON. Balance constant until balloon.</t>
      </text>
    </comment>
    <comment ref="D83" authorId="0" shapeId="0">
      <text>
        <t>Interest-only: entire payment is interest expense.</t>
      </text>
    </comment>
    <comment ref="E83" authorId="0" shapeId="0">
      <text>
        <t>Interest-only loan: no principal amortization until balloon.</t>
      </text>
    </comment>
    <comment ref="F83" authorId="0" shapeId="0">
      <text>
        <t>Interest-only: balance unchanged until balloon payment at maturity.</t>
      </text>
    </comment>
    <comment ref="C84" authorId="0" shapeId="0">
      <text>
        <t>Loan: Commonwealth, INTEREST_ONLY_BALLOON. Balance constant until balloon.</t>
      </text>
    </comment>
    <comment ref="D84" authorId="0" shapeId="0">
      <text>
        <t>Interest-only: entire payment is interest expense.</t>
      </text>
    </comment>
    <comment ref="E84" authorId="0" shapeId="0">
      <text>
        <t>Interest-only loan: no principal amortization until balloon.</t>
      </text>
    </comment>
    <comment ref="F84" authorId="0" shapeId="0">
      <text>
        <t>Interest-only: balance unchanged until balloon payment at maturity.</t>
      </text>
    </comment>
    <comment ref="C85" authorId="0" shapeId="0">
      <text>
        <t>Loan: Commonwealth, INTEREST_ONLY_BALLOON. Balance constant until balloon.</t>
      </text>
    </comment>
    <comment ref="D85" authorId="0" shapeId="0">
      <text>
        <t>Interest-only: entire payment is interest expense.</t>
      </text>
    </comment>
    <comment ref="E85" authorId="0" shapeId="0">
      <text>
        <t>Interest-only loan: no principal amortization until balloon.</t>
      </text>
    </comment>
    <comment ref="F85" authorId="0" shapeId="0">
      <text>
        <t>Interest-only: balance unchanged until balloon payment at maturity.</t>
      </text>
    </comment>
    <comment ref="C91" authorId="0" shapeId="0">
      <text>
        <t>Year-end balance for 2026. Constant for I/O loan.</t>
      </text>
    </comment>
    <comment ref="D91" authorId="0" shapeId="0">
      <text>
        <t>Total interest expense for 2026.</t>
      </text>
    </comment>
    <comment ref="E91" authorId="0" shapeId="0">
      <text>
        <t>No principal paid for I/O loan in 2026.</t>
      </text>
    </comment>
    <comment ref="C92" authorId="0" shapeId="0">
      <text>
        <t>Year-end balance for 2027. Constant for I/O loan.</t>
      </text>
    </comment>
    <comment ref="D92" authorId="0" shapeId="0">
      <text>
        <t>Total interest expense for 2027.</t>
      </text>
    </comment>
    <comment ref="E92" authorId="0" shapeId="0">
      <text>
        <t>No principal paid for I/O loan in 2027.</t>
      </text>
    </comment>
    <comment ref="C93" authorId="0" shapeId="0">
      <text>
        <t>Year-end balance for 2028. Constant for I/O loan.</t>
      </text>
    </comment>
    <comment ref="D93" authorId="0" shapeId="0">
      <text>
        <t>Total interest expense for 2028.</t>
      </text>
    </comment>
    <comment ref="E93" authorId="0" shapeId="0">
      <text>
        <t>No principal paid for I/O loan in 2028.</t>
      </text>
    </comment>
    <comment ref="C94" authorId="0" shapeId="0">
      <text>
        <t>Year-end balance for 2029. Constant for I/O loan.</t>
      </text>
    </comment>
    <comment ref="D94" authorId="0" shapeId="0">
      <text>
        <t>Total interest expense for 2029.</t>
      </text>
    </comment>
    <comment ref="E94" authorId="0" shapeId="0">
      <text>
        <t>No principal paid for I/O loan in 2029.</t>
      </text>
    </comment>
    <comment ref="C95" authorId="0" shapeId="0">
      <text>
        <t>Year-end balance for 2030. Constant for I/O loan.</t>
      </text>
    </comment>
    <comment ref="D95" authorId="0" shapeId="0">
      <text>
        <t>Total interest expense for 2030.</t>
      </text>
    </comment>
    <comment ref="E95" authorId="0" shapeId="0">
      <text>
        <t>No principal paid for I/O loan in 2030.</t>
      </text>
    </comment>
    <comment ref="B97" authorId="0" shapeId="0">
      <text>
        <t>Links to: assumption block row 12 — Principal Balance.</t>
      </text>
    </comment>
  </commentList>
</comments>
</file>

<file path=xl/comments/comment81.xml><?xml version="1.0" encoding="utf-8"?>
<comments xmlns="http://schemas.openxmlformats.org/spreadsheetml/2006/main">
  <authors>
    <author>Model Builder</author>
  </authors>
  <commentList>
    <comment ref="B12" authorId="0" shapeId="0">
      <text>
        <t>Source: loans.md - Loan 83
Interest-only loan - principal remains constant until balloon payment.</t>
      </text>
    </comment>
    <comment ref="B13" authorId="0" shapeId="0">
      <text>
        <t>Source: loans.md - Loan 83
Implied rate = Payment x 12 / Principal.</t>
      </text>
    </comment>
    <comment ref="B14" authorId="0" shapeId="0">
      <text>
        <t>Source: loans.md - Loan 83
Entire payment is interest expense - no principal reduction.</t>
      </text>
    </comment>
    <comment ref="C26" authorId="0" shapeId="0">
      <text>
        <t>Loan: Win Win Loan, INTEREST_ONLY_BALLOON. Balance constant until balloon.</t>
      </text>
    </comment>
    <comment ref="D26" authorId="0" shapeId="0">
      <text>
        <t>Interest-only: entire payment is interest expense.</t>
      </text>
    </comment>
    <comment ref="E26" authorId="0" shapeId="0">
      <text>
        <t>Interest-only loan: no principal amortization until balloon.</t>
      </text>
    </comment>
    <comment ref="F26" authorId="0" shapeId="0">
      <text>
        <t>Interest-only: balance unchanged until balloon payment at maturity.</t>
      </text>
    </comment>
    <comment ref="C27" authorId="0" shapeId="0">
      <text>
        <t>Loan: Win Win Loan, INTEREST_ONLY_BALLOON. Balance constant until balloon.</t>
      </text>
    </comment>
    <comment ref="D27" authorId="0" shapeId="0">
      <text>
        <t>Interest-only: entire payment is interest expense.</t>
      </text>
    </comment>
    <comment ref="E27" authorId="0" shapeId="0">
      <text>
        <t>Interest-only loan: no principal amortization until balloon.</t>
      </text>
    </comment>
    <comment ref="F27" authorId="0" shapeId="0">
      <text>
        <t>Interest-only: balance unchanged until balloon payment at maturity.</t>
      </text>
    </comment>
    <comment ref="C28" authorId="0" shapeId="0">
      <text>
        <t>Loan: Win Win Loan, INTEREST_ONLY_BALLOON. Balance constant until balloon.</t>
      </text>
    </comment>
    <comment ref="D28" authorId="0" shapeId="0">
      <text>
        <t>Interest-only: entire payment is interest expense.</t>
      </text>
    </comment>
    <comment ref="E28" authorId="0" shapeId="0">
      <text>
        <t>Interest-only loan: no principal amortization until balloon.</t>
      </text>
    </comment>
    <comment ref="F28" authorId="0" shapeId="0">
      <text>
        <t>Interest-only: balance unchanged until balloon payment at maturity.</t>
      </text>
    </comment>
    <comment ref="C29" authorId="0" shapeId="0">
      <text>
        <t>Loan: Win Win Loan, INTEREST_ONLY_BALLOON. Balance constant until balloon.</t>
      </text>
    </comment>
    <comment ref="D29" authorId="0" shapeId="0">
      <text>
        <t>Interest-only: entire payment is interest expense.</t>
      </text>
    </comment>
    <comment ref="E29" authorId="0" shapeId="0">
      <text>
        <t>Interest-only loan: no principal amortization until balloon.</t>
      </text>
    </comment>
    <comment ref="F29" authorId="0" shapeId="0">
      <text>
        <t>Interest-only: balance unchanged until balloon payment at maturity.</t>
      </text>
    </comment>
    <comment ref="C30" authorId="0" shapeId="0">
      <text>
        <t>Loan: Win Win Loan, INTEREST_ONLY_BALLOON. Balance constant until balloon.</t>
      </text>
    </comment>
    <comment ref="D30" authorId="0" shapeId="0">
      <text>
        <t>Interest-only: entire payment is interest expense.</t>
      </text>
    </comment>
    <comment ref="E30" authorId="0" shapeId="0">
      <text>
        <t>Interest-only loan: no principal amortization until balloon.</t>
      </text>
    </comment>
    <comment ref="F30" authorId="0" shapeId="0">
      <text>
        <t>Interest-only: balance unchanged until balloon payment at maturity.</t>
      </text>
    </comment>
    <comment ref="C31" authorId="0" shapeId="0">
      <text>
        <t>Loan: Win Win Loan, INTEREST_ONLY_BALLOON. Balance constant until balloon.</t>
      </text>
    </comment>
    <comment ref="D31" authorId="0" shapeId="0">
      <text>
        <t>Interest-only: entire payment is interest expense.</t>
      </text>
    </comment>
    <comment ref="E31" authorId="0" shapeId="0">
      <text>
        <t>Interest-only loan: no principal amortization until balloon.</t>
      </text>
    </comment>
    <comment ref="F31" authorId="0" shapeId="0">
      <text>
        <t>Interest-only: balance unchanged until balloon payment at maturity.</t>
      </text>
    </comment>
    <comment ref="C32" authorId="0" shapeId="0">
      <text>
        <t>Loan: Win Win Loan, INTEREST_ONLY_BALLOON. Balance constant until balloon.</t>
      </text>
    </comment>
    <comment ref="D32" authorId="0" shapeId="0">
      <text>
        <t>Interest-only: entire payment is interest expense.</t>
      </text>
    </comment>
    <comment ref="E32" authorId="0" shapeId="0">
      <text>
        <t>Interest-only loan: no principal amortization until balloon.</t>
      </text>
    </comment>
    <comment ref="F32" authorId="0" shapeId="0">
      <text>
        <t>Interest-only: balance unchanged until balloon payment at maturity.</t>
      </text>
    </comment>
    <comment ref="C33" authorId="0" shapeId="0">
      <text>
        <t>Loan: Win Win Loan, INTEREST_ONLY_BALLOON. Balance constant until balloon.</t>
      </text>
    </comment>
    <comment ref="D33" authorId="0" shapeId="0">
      <text>
        <t>Interest-only: entire payment is interest expense.</t>
      </text>
    </comment>
    <comment ref="E33" authorId="0" shapeId="0">
      <text>
        <t>Interest-only loan: no principal amortization until balloon.</t>
      </text>
    </comment>
    <comment ref="F33" authorId="0" shapeId="0">
      <text>
        <t>Interest-only: balance unchanged until balloon payment at maturity.</t>
      </text>
    </comment>
    <comment ref="C34" authorId="0" shapeId="0">
      <text>
        <t>Loan: Win Win Loan, INTEREST_ONLY_BALLOON. Balance constant until balloon.</t>
      </text>
    </comment>
    <comment ref="D34" authorId="0" shapeId="0">
      <text>
        <t>Interest-only: entire payment is interest expense.</t>
      </text>
    </comment>
    <comment ref="E34" authorId="0" shapeId="0">
      <text>
        <t>Interest-only loan: no principal amortization until balloon.</t>
      </text>
    </comment>
    <comment ref="F34" authorId="0" shapeId="0">
      <text>
        <t>Interest-only: balance unchanged until balloon payment at maturity.</t>
      </text>
    </comment>
    <comment ref="C35" authorId="0" shapeId="0">
      <text>
        <t>Loan: Win Win Loan, INTEREST_ONLY_BALLOON. Balance constant until balloon.</t>
      </text>
    </comment>
    <comment ref="D35" authorId="0" shapeId="0">
      <text>
        <t>Interest-only: entire payment is interest expense.</t>
      </text>
    </comment>
    <comment ref="E35" authorId="0" shapeId="0">
      <text>
        <t>Interest-only loan: no principal amortization until balloon.</t>
      </text>
    </comment>
    <comment ref="F35" authorId="0" shapeId="0">
      <text>
        <t>Interest-only: balance unchanged until balloon payment at maturity.</t>
      </text>
    </comment>
    <comment ref="C36" authorId="0" shapeId="0">
      <text>
        <t>Loan: Win Win Loan, INTEREST_ONLY_BALLOON. Balance constant until balloon.</t>
      </text>
    </comment>
    <comment ref="D36" authorId="0" shapeId="0">
      <text>
        <t>Interest-only: entire payment is interest expense.</t>
      </text>
    </comment>
    <comment ref="E36" authorId="0" shapeId="0">
      <text>
        <t>Interest-only loan: no principal amortization until balloon.</t>
      </text>
    </comment>
    <comment ref="F36" authorId="0" shapeId="0">
      <text>
        <t>Interest-only: balance unchanged until balloon payment at maturity.</t>
      </text>
    </comment>
    <comment ref="C37" authorId="0" shapeId="0">
      <text>
        <t>Loan: Win Win Loan, INTEREST_ONLY_BALLOON. Balance constant until balloon.</t>
      </text>
    </comment>
    <comment ref="D37" authorId="0" shapeId="0">
      <text>
        <t>Interest-only: entire payment is interest expense.</t>
      </text>
    </comment>
    <comment ref="E37" authorId="0" shapeId="0">
      <text>
        <t>Interest-only loan: no principal amortization until balloon.</t>
      </text>
    </comment>
    <comment ref="F37" authorId="0" shapeId="0">
      <text>
        <t>Interest-only: balance unchanged until balloon payment at maturity.</t>
      </text>
    </comment>
    <comment ref="C38" authorId="0" shapeId="0">
      <text>
        <t>Loan: Win Win Loan, INTEREST_ONLY_BALLOON. Balance constant until balloon.</t>
      </text>
    </comment>
    <comment ref="D38" authorId="0" shapeId="0">
      <text>
        <t>Interest-only: entire payment is interest expense.</t>
      </text>
    </comment>
    <comment ref="E38" authorId="0" shapeId="0">
      <text>
        <t>Interest-only loan: no principal amortization until balloon.</t>
      </text>
    </comment>
    <comment ref="F38" authorId="0" shapeId="0">
      <text>
        <t>Interest-only: balance unchanged until balloon payment at maturity.</t>
      </text>
    </comment>
    <comment ref="C39" authorId="0" shapeId="0">
      <text>
        <t>Loan: Win Win Loan, INTEREST_ONLY_BALLOON. Balance constant until balloon.</t>
      </text>
    </comment>
    <comment ref="D39" authorId="0" shapeId="0">
      <text>
        <t>Interest-only: entire payment is interest expense.</t>
      </text>
    </comment>
    <comment ref="E39" authorId="0" shapeId="0">
      <text>
        <t>Interest-only loan: no principal amortization until balloon.</t>
      </text>
    </comment>
    <comment ref="F39" authorId="0" shapeId="0">
      <text>
        <t>Interest-only: balance unchanged until balloon payment at maturity.</t>
      </text>
    </comment>
    <comment ref="C40" authorId="0" shapeId="0">
      <text>
        <t>Loan: Win Win Loan, INTEREST_ONLY_BALLOON. Balance constant until balloon.</t>
      </text>
    </comment>
    <comment ref="D40" authorId="0" shapeId="0">
      <text>
        <t>Interest-only: entire payment is interest expense.</t>
      </text>
    </comment>
    <comment ref="E40" authorId="0" shapeId="0">
      <text>
        <t>Interest-only loan: no principal amortization until balloon.</t>
      </text>
    </comment>
    <comment ref="F40" authorId="0" shapeId="0">
      <text>
        <t>Interest-only: balance unchanged until balloon payment at maturity.</t>
      </text>
    </comment>
    <comment ref="C41" authorId="0" shapeId="0">
      <text>
        <t>Loan: Win Win Loan, INTEREST_ONLY_BALLOON. Balance constant until balloon.</t>
      </text>
    </comment>
    <comment ref="D41" authorId="0" shapeId="0">
      <text>
        <t>Interest-only: entire payment is interest expense.</t>
      </text>
    </comment>
    <comment ref="E41" authorId="0" shapeId="0">
      <text>
        <t>Interest-only loan: no principal amortization until balloon.</t>
      </text>
    </comment>
    <comment ref="F41" authorId="0" shapeId="0">
      <text>
        <t>Interest-only: balance unchanged until balloon payment at maturity.</t>
      </text>
    </comment>
    <comment ref="C42" authorId="0" shapeId="0">
      <text>
        <t>Loan: Win Win Loan, INTEREST_ONLY_BALLOON. Balance constant until balloon.</t>
      </text>
    </comment>
    <comment ref="D42" authorId="0" shapeId="0">
      <text>
        <t>Interest-only: entire payment is interest expense.</t>
      </text>
    </comment>
    <comment ref="E42" authorId="0" shapeId="0">
      <text>
        <t>Interest-only loan: no principal amortization until balloon.</t>
      </text>
    </comment>
    <comment ref="F42" authorId="0" shapeId="0">
      <text>
        <t>Interest-only: balance unchanged until balloon payment at maturity.</t>
      </text>
    </comment>
    <comment ref="C43" authorId="0" shapeId="0">
      <text>
        <t>Loan: Win Win Loan, INTEREST_ONLY_BALLOON. Balance constant until balloon.</t>
      </text>
    </comment>
    <comment ref="D43" authorId="0" shapeId="0">
      <text>
        <t>Interest-only: entire payment is interest expense.</t>
      </text>
    </comment>
    <comment ref="E43" authorId="0" shapeId="0">
      <text>
        <t>Interest-only loan: no principal amortization until balloon.</t>
      </text>
    </comment>
    <comment ref="F43" authorId="0" shapeId="0">
      <text>
        <t>Interest-only: balance unchanged until balloon payment at maturity.</t>
      </text>
    </comment>
    <comment ref="C44" authorId="0" shapeId="0">
      <text>
        <t>Loan: Win Win Loan, INTEREST_ONLY_BALLOON. Balance constant until balloon.</t>
      </text>
    </comment>
    <comment ref="D44" authorId="0" shapeId="0">
      <text>
        <t>Interest-only: entire payment is interest expense.</t>
      </text>
    </comment>
    <comment ref="E44" authorId="0" shapeId="0">
      <text>
        <t>Interest-only loan: no principal amortization until balloon.</t>
      </text>
    </comment>
    <comment ref="F44" authorId="0" shapeId="0">
      <text>
        <t>Interest-only: balance unchanged until balloon payment at maturity.</t>
      </text>
    </comment>
    <comment ref="C45" authorId="0" shapeId="0">
      <text>
        <t>Loan: Win Win Loan, INTEREST_ONLY_BALLOON. Balance constant until balloon.</t>
      </text>
    </comment>
    <comment ref="D45" authorId="0" shapeId="0">
      <text>
        <t>Interest-only: entire payment is interest expense.</t>
      </text>
    </comment>
    <comment ref="E45" authorId="0" shapeId="0">
      <text>
        <t>Interest-only loan: no principal amortization until balloon.</t>
      </text>
    </comment>
    <comment ref="F45" authorId="0" shapeId="0">
      <text>
        <t>Interest-only: balance unchanged until balloon payment at maturity.</t>
      </text>
    </comment>
    <comment ref="C46" authorId="0" shapeId="0">
      <text>
        <t>Loan: Win Win Loan, INTEREST_ONLY_BALLOON. Balance constant until balloon.</t>
      </text>
    </comment>
    <comment ref="D46" authorId="0" shapeId="0">
      <text>
        <t>Interest-only: entire payment is interest expense.</t>
      </text>
    </comment>
    <comment ref="E46" authorId="0" shapeId="0">
      <text>
        <t>Interest-only loan: no principal amortization until balloon.</t>
      </text>
    </comment>
    <comment ref="F46" authorId="0" shapeId="0">
      <text>
        <t>Interest-only: balance unchanged until balloon payment at maturity.</t>
      </text>
    </comment>
    <comment ref="C47" authorId="0" shapeId="0">
      <text>
        <t>Loan: Win Win Loan, INTEREST_ONLY_BALLOON. Balance constant until balloon.</t>
      </text>
    </comment>
    <comment ref="D47" authorId="0" shapeId="0">
      <text>
        <t>Interest-only: entire payment is interest expense.</t>
      </text>
    </comment>
    <comment ref="E47" authorId="0" shapeId="0">
      <text>
        <t>Interest-only loan: no principal amortization until balloon.</t>
      </text>
    </comment>
    <comment ref="F47" authorId="0" shapeId="0">
      <text>
        <t>Interest-only: balance unchanged until balloon payment at maturity.</t>
      </text>
    </comment>
    <comment ref="C48" authorId="0" shapeId="0">
      <text>
        <t>Loan: Win Win Loan, INTEREST_ONLY_BALLOON. Balance constant until balloon.</t>
      </text>
    </comment>
    <comment ref="D48" authorId="0" shapeId="0">
      <text>
        <t>Interest-only: entire payment is interest expense.</t>
      </text>
    </comment>
    <comment ref="E48" authorId="0" shapeId="0">
      <text>
        <t>Interest-only loan: no principal amortization until balloon.</t>
      </text>
    </comment>
    <comment ref="F48" authorId="0" shapeId="0">
      <text>
        <t>Interest-only: balance unchanged until balloon payment at maturity.</t>
      </text>
    </comment>
    <comment ref="C49" authorId="0" shapeId="0">
      <text>
        <t>Loan: Win Win Loan, INTEREST_ONLY_BALLOON. Balance constant until balloon.</t>
      </text>
    </comment>
    <comment ref="D49" authorId="0" shapeId="0">
      <text>
        <t>Interest-only: entire payment is interest expense.</t>
      </text>
    </comment>
    <comment ref="E49" authorId="0" shapeId="0">
      <text>
        <t>Interest-only loan: no principal amortization until balloon.</t>
      </text>
    </comment>
    <comment ref="F49" authorId="0" shapeId="0">
      <text>
        <t>Interest-only: balance unchanged until balloon payment at maturity.</t>
      </text>
    </comment>
    <comment ref="C50" authorId="0" shapeId="0">
      <text>
        <t>Loan: Win Win Loan, INTEREST_ONLY_BALLOON. Balance constant until balloon.</t>
      </text>
    </comment>
    <comment ref="D50" authorId="0" shapeId="0">
      <text>
        <t>Interest-only: entire payment is interest expense.</t>
      </text>
    </comment>
    <comment ref="E50" authorId="0" shapeId="0">
      <text>
        <t>Interest-only loan: no principal amortization until balloon.</t>
      </text>
    </comment>
    <comment ref="F50" authorId="0" shapeId="0">
      <text>
        <t>Interest-only: balance unchanged until balloon payment at maturity.</t>
      </text>
    </comment>
    <comment ref="C51" authorId="0" shapeId="0">
      <text>
        <t>Loan: Win Win Loan, INTEREST_ONLY_BALLOON. Balance constant until balloon.</t>
      </text>
    </comment>
    <comment ref="D51" authorId="0" shapeId="0">
      <text>
        <t>Interest-only: entire payment is interest expense.</t>
      </text>
    </comment>
    <comment ref="E51" authorId="0" shapeId="0">
      <text>
        <t>Interest-only loan: no principal amortization until balloon.</t>
      </text>
    </comment>
    <comment ref="F51" authorId="0" shapeId="0">
      <text>
        <t>Interest-only: balance unchanged until balloon payment at maturity.</t>
      </text>
    </comment>
    <comment ref="C52" authorId="0" shapeId="0">
      <text>
        <t>Loan: Win Win Loan, INTEREST_ONLY_BALLOON. Balance constant until balloon.</t>
      </text>
    </comment>
    <comment ref="D52" authorId="0" shapeId="0">
      <text>
        <t>Interest-only: entire payment is interest expense.</t>
      </text>
    </comment>
    <comment ref="E52" authorId="0" shapeId="0">
      <text>
        <t>Interest-only loan: no principal amortization until balloon.</t>
      </text>
    </comment>
    <comment ref="F52" authorId="0" shapeId="0">
      <text>
        <t>Interest-only: balance unchanged until balloon payment at maturity.</t>
      </text>
    </comment>
    <comment ref="C53" authorId="0" shapeId="0">
      <text>
        <t>Loan: Win Win Loan, INTEREST_ONLY_BALLOON. Balance constant until balloon.</t>
      </text>
    </comment>
    <comment ref="D53" authorId="0" shapeId="0">
      <text>
        <t>Interest-only: entire payment is interest expense.</t>
      </text>
    </comment>
    <comment ref="E53" authorId="0" shapeId="0">
      <text>
        <t>Interest-only loan: no principal amortization until balloon.</t>
      </text>
    </comment>
    <comment ref="F53" authorId="0" shapeId="0">
      <text>
        <t>Interest-only: balance unchanged until balloon payment at maturity.</t>
      </text>
    </comment>
    <comment ref="C54" authorId="0" shapeId="0">
      <text>
        <t>Loan: Win Win Loan, INTEREST_ONLY_BALLOON. Balance constant until balloon.</t>
      </text>
    </comment>
    <comment ref="D54" authorId="0" shapeId="0">
      <text>
        <t>Interest-only: entire payment is interest expense.</t>
      </text>
    </comment>
    <comment ref="E54" authorId="0" shapeId="0">
      <text>
        <t>Interest-only loan: no principal amortization until balloon.</t>
      </text>
    </comment>
    <comment ref="F54" authorId="0" shapeId="0">
      <text>
        <t>Interest-only: balance unchanged until balloon payment at maturity.</t>
      </text>
    </comment>
    <comment ref="C55" authorId="0" shapeId="0">
      <text>
        <t>Loan: Win Win Loan, INTEREST_ONLY_BALLOON. Balance constant until balloon.</t>
      </text>
    </comment>
    <comment ref="D55" authorId="0" shapeId="0">
      <text>
        <t>Interest-only: entire payment is interest expense.</t>
      </text>
    </comment>
    <comment ref="E55" authorId="0" shapeId="0">
      <text>
        <t>Interest-only loan: no principal amortization until balloon.</t>
      </text>
    </comment>
    <comment ref="F55" authorId="0" shapeId="0">
      <text>
        <t>Interest-only: balance unchanged until balloon payment at maturity.</t>
      </text>
    </comment>
    <comment ref="C56" authorId="0" shapeId="0">
      <text>
        <t>Loan: Win Win Loan, INTEREST_ONLY_BALLOON. Balance constant until balloon.</t>
      </text>
    </comment>
    <comment ref="D56" authorId="0" shapeId="0">
      <text>
        <t>Interest-only: entire payment is interest expense.</t>
      </text>
    </comment>
    <comment ref="E56" authorId="0" shapeId="0">
      <text>
        <t>Interest-only loan: no principal amortization until balloon.</t>
      </text>
    </comment>
    <comment ref="F56" authorId="0" shapeId="0">
      <text>
        <t>Interest-only: balance unchanged until balloon payment at maturity.</t>
      </text>
    </comment>
    <comment ref="C57" authorId="0" shapeId="0">
      <text>
        <t>Loan: Win Win Loan, INTEREST_ONLY_BALLOON. Balance constant until balloon.</t>
      </text>
    </comment>
    <comment ref="D57" authorId="0" shapeId="0">
      <text>
        <t>Interest-only: entire payment is interest expense.</t>
      </text>
    </comment>
    <comment ref="E57" authorId="0" shapeId="0">
      <text>
        <t>Interest-only loan: no principal amortization until balloon.</t>
      </text>
    </comment>
    <comment ref="F57" authorId="0" shapeId="0">
      <text>
        <t>Interest-only: balance unchanged until balloon payment at maturity.</t>
      </text>
    </comment>
    <comment ref="C58" authorId="0" shapeId="0">
      <text>
        <t>Loan: Win Win Loan, INTEREST_ONLY_BALLOON. Balance constant until balloon.</t>
      </text>
    </comment>
    <comment ref="D58" authorId="0" shapeId="0">
      <text>
        <t>Interest-only: entire payment is interest expense.</t>
      </text>
    </comment>
    <comment ref="E58" authorId="0" shapeId="0">
      <text>
        <t>Interest-only loan: no principal amortization until balloon.</t>
      </text>
    </comment>
    <comment ref="F58" authorId="0" shapeId="0">
      <text>
        <t>Interest-only: balance unchanged until balloon payment at maturity.</t>
      </text>
    </comment>
    <comment ref="C59" authorId="0" shapeId="0">
      <text>
        <t>Loan: Win Win Loan, INTEREST_ONLY_BALLOON. Balance constant until balloon.</t>
      </text>
    </comment>
    <comment ref="D59" authorId="0" shapeId="0">
      <text>
        <t>Interest-only: entire payment is interest expense.</t>
      </text>
    </comment>
    <comment ref="E59" authorId="0" shapeId="0">
      <text>
        <t>Interest-only loan: no principal amortization until balloon.</t>
      </text>
    </comment>
    <comment ref="F59" authorId="0" shapeId="0">
      <text>
        <t>Interest-only: balance unchanged until balloon payment at maturity.</t>
      </text>
    </comment>
    <comment ref="C60" authorId="0" shapeId="0">
      <text>
        <t>Loan: Win Win Loan, INTEREST_ONLY_BALLOON. Balance constant until balloon.</t>
      </text>
    </comment>
    <comment ref="D60" authorId="0" shapeId="0">
      <text>
        <t>Interest-only: entire payment is interest expense.</t>
      </text>
    </comment>
    <comment ref="E60" authorId="0" shapeId="0">
      <text>
        <t>Interest-only loan: no principal amortization until balloon.</t>
      </text>
    </comment>
    <comment ref="F60" authorId="0" shapeId="0">
      <text>
        <t>Interest-only: balance unchanged until balloon payment at maturity.</t>
      </text>
    </comment>
    <comment ref="C61" authorId="0" shapeId="0">
      <text>
        <t>Loan: Win Win Loan, INTEREST_ONLY_BALLOON. Balance constant until balloon.</t>
      </text>
    </comment>
    <comment ref="D61" authorId="0" shapeId="0">
      <text>
        <t>Interest-only: entire payment is interest expense.</t>
      </text>
    </comment>
    <comment ref="E61" authorId="0" shapeId="0">
      <text>
        <t>Interest-only loan: no principal amortization until balloon.</t>
      </text>
    </comment>
    <comment ref="F61" authorId="0" shapeId="0">
      <text>
        <t>Interest-only: balance unchanged until balloon payment at maturity.</t>
      </text>
    </comment>
    <comment ref="C62" authorId="0" shapeId="0">
      <text>
        <t>Loan: Win Win Loan, INTEREST_ONLY_BALLOON. Balance constant until balloon.</t>
      </text>
    </comment>
    <comment ref="D62" authorId="0" shapeId="0">
      <text>
        <t>Interest-only: entire payment is interest expense.</t>
      </text>
    </comment>
    <comment ref="E62" authorId="0" shapeId="0">
      <text>
        <t>Interest-only loan: no principal amortization until balloon.</t>
      </text>
    </comment>
    <comment ref="F62" authorId="0" shapeId="0">
      <text>
        <t>Interest-only: balance unchanged until balloon payment at maturity.</t>
      </text>
    </comment>
    <comment ref="C63" authorId="0" shapeId="0">
      <text>
        <t>Loan: Win Win Loan, INTEREST_ONLY_BALLOON. Balance constant until balloon.</t>
      </text>
    </comment>
    <comment ref="D63" authorId="0" shapeId="0">
      <text>
        <t>Interest-only: entire payment is interest expense.</t>
      </text>
    </comment>
    <comment ref="E63" authorId="0" shapeId="0">
      <text>
        <t>Interest-only loan: no principal amortization until balloon.</t>
      </text>
    </comment>
    <comment ref="F63" authorId="0" shapeId="0">
      <text>
        <t>Interest-only: balance unchanged until balloon payment at maturity.</t>
      </text>
    </comment>
    <comment ref="C64" authorId="0" shapeId="0">
      <text>
        <t>Loan: Win Win Loan, INTEREST_ONLY_BALLOON. Balance constant until balloon.</t>
      </text>
    </comment>
    <comment ref="D64" authorId="0" shapeId="0">
      <text>
        <t>Interest-only: entire payment is interest expense.</t>
      </text>
    </comment>
    <comment ref="E64" authorId="0" shapeId="0">
      <text>
        <t>Interest-only loan: no principal amortization until balloon.</t>
      </text>
    </comment>
    <comment ref="F64" authorId="0" shapeId="0">
      <text>
        <t>Interest-only: balance unchanged until balloon payment at maturity.</t>
      </text>
    </comment>
    <comment ref="C65" authorId="0" shapeId="0">
      <text>
        <t>Loan: Win Win Loan, INTEREST_ONLY_BALLOON. Balance constant until balloon.</t>
      </text>
    </comment>
    <comment ref="D65" authorId="0" shapeId="0">
      <text>
        <t>Interest-only: entire payment is interest expense.</t>
      </text>
    </comment>
    <comment ref="E65" authorId="0" shapeId="0">
      <text>
        <t>Interest-only loan: no principal amortization until balloon.</t>
      </text>
    </comment>
    <comment ref="F65" authorId="0" shapeId="0">
      <text>
        <t>Interest-only: balance unchanged until balloon payment at maturity.</t>
      </text>
    </comment>
    <comment ref="C66" authorId="0" shapeId="0">
      <text>
        <t>Loan: Win Win Loan, INTEREST_ONLY_BALLOON. Balance constant until balloon.</t>
      </text>
    </comment>
    <comment ref="D66" authorId="0" shapeId="0">
      <text>
        <t>Interest-only: entire payment is interest expense.</t>
      </text>
    </comment>
    <comment ref="E66" authorId="0" shapeId="0">
      <text>
        <t>Interest-only loan: no principal amortization until balloon.</t>
      </text>
    </comment>
    <comment ref="F66" authorId="0" shapeId="0">
      <text>
        <t>Interest-only: balance unchanged until balloon payment at maturity.</t>
      </text>
    </comment>
    <comment ref="C67" authorId="0" shapeId="0">
      <text>
        <t>Loan: Win Win Loan, INTEREST_ONLY_BALLOON. Balance constant until balloon.</t>
      </text>
    </comment>
    <comment ref="D67" authorId="0" shapeId="0">
      <text>
        <t>Interest-only: entire payment is interest expense.</t>
      </text>
    </comment>
    <comment ref="E67" authorId="0" shapeId="0">
      <text>
        <t>Interest-only loan: no principal amortization until balloon.</t>
      </text>
    </comment>
    <comment ref="F67" authorId="0" shapeId="0">
      <text>
        <t>Interest-only: balance unchanged until balloon payment at maturity.</t>
      </text>
    </comment>
    <comment ref="C68" authorId="0" shapeId="0">
      <text>
        <t>Loan: Win Win Loan, INTEREST_ONLY_BALLOON. Balance constant until balloon.</t>
      </text>
    </comment>
    <comment ref="D68" authorId="0" shapeId="0">
      <text>
        <t>Interest-only: entire payment is interest expense.</t>
      </text>
    </comment>
    <comment ref="E68" authorId="0" shapeId="0">
      <text>
        <t>Interest-only loan: no principal amortization until balloon.</t>
      </text>
    </comment>
    <comment ref="F68" authorId="0" shapeId="0">
      <text>
        <t>Interest-only: balance unchanged until balloon payment at maturity.</t>
      </text>
    </comment>
    <comment ref="C69" authorId="0" shapeId="0">
      <text>
        <t>Loan: Win Win Loan, INTEREST_ONLY_BALLOON. Balance constant until balloon.</t>
      </text>
    </comment>
    <comment ref="D69" authorId="0" shapeId="0">
      <text>
        <t>Interest-only: entire payment is interest expense.</t>
      </text>
    </comment>
    <comment ref="E69" authorId="0" shapeId="0">
      <text>
        <t>Interest-only loan: no principal amortization until balloon.</t>
      </text>
    </comment>
    <comment ref="F69" authorId="0" shapeId="0">
      <text>
        <t>Interest-only: balance unchanged until balloon payment at maturity.</t>
      </text>
    </comment>
    <comment ref="C70" authorId="0" shapeId="0">
      <text>
        <t>Loan: Win Win Loan, INTEREST_ONLY_BALLOON. Balance constant until balloon.</t>
      </text>
    </comment>
    <comment ref="D70" authorId="0" shapeId="0">
      <text>
        <t>Interest-only: entire payment is interest expense.</t>
      </text>
    </comment>
    <comment ref="E70" authorId="0" shapeId="0">
      <text>
        <t>Interest-only loan: no principal amortization until balloon.</t>
      </text>
    </comment>
    <comment ref="F70" authorId="0" shapeId="0">
      <text>
        <t>Interest-only: balance unchanged until balloon payment at maturity.</t>
      </text>
    </comment>
    <comment ref="C71" authorId="0" shapeId="0">
      <text>
        <t>Loan: Win Win Loan, INTEREST_ONLY_BALLOON. Balance constant until balloon.</t>
      </text>
    </comment>
    <comment ref="D71" authorId="0" shapeId="0">
      <text>
        <t>Interest-only: entire payment is interest expense.</t>
      </text>
    </comment>
    <comment ref="E71" authorId="0" shapeId="0">
      <text>
        <t>Interest-only loan: no principal amortization until balloon.</t>
      </text>
    </comment>
    <comment ref="F71" authorId="0" shapeId="0">
      <text>
        <t>Interest-only: balance unchanged until balloon payment at maturity.</t>
      </text>
    </comment>
    <comment ref="C72" authorId="0" shapeId="0">
      <text>
        <t>Loan: Win Win Loan, INTEREST_ONLY_BALLOON. Balance constant until balloon.</t>
      </text>
    </comment>
    <comment ref="D72" authorId="0" shapeId="0">
      <text>
        <t>Interest-only: entire payment is interest expense.</t>
      </text>
    </comment>
    <comment ref="E72" authorId="0" shapeId="0">
      <text>
        <t>Interest-only loan: no principal amortization until balloon.</t>
      </text>
    </comment>
    <comment ref="F72" authorId="0" shapeId="0">
      <text>
        <t>Interest-only: balance unchanged until balloon payment at maturity.</t>
      </text>
    </comment>
    <comment ref="C73" authorId="0" shapeId="0">
      <text>
        <t>Loan: Win Win Loan, INTEREST_ONLY_BALLOON. Balance constant until balloon.</t>
      </text>
    </comment>
    <comment ref="D73" authorId="0" shapeId="0">
      <text>
        <t>Interest-only: entire payment is interest expense.</t>
      </text>
    </comment>
    <comment ref="E73" authorId="0" shapeId="0">
      <text>
        <t>Interest-only loan: no principal amortization until balloon.</t>
      </text>
    </comment>
    <comment ref="F73" authorId="0" shapeId="0">
      <text>
        <t>Interest-only: balance unchanged until balloon payment at maturity.</t>
      </text>
    </comment>
    <comment ref="C74" authorId="0" shapeId="0">
      <text>
        <t>Loan: Win Win Loan, INTEREST_ONLY_BALLOON. Balance constant until balloon.</t>
      </text>
    </comment>
    <comment ref="D74" authorId="0" shapeId="0">
      <text>
        <t>Interest-only: entire payment is interest expense.</t>
      </text>
    </comment>
    <comment ref="E74" authorId="0" shapeId="0">
      <text>
        <t>Interest-only loan: no principal amortization until balloon.</t>
      </text>
    </comment>
    <comment ref="F74" authorId="0" shapeId="0">
      <text>
        <t>Interest-only: balance unchanged until balloon payment at maturity.</t>
      </text>
    </comment>
    <comment ref="C75" authorId="0" shapeId="0">
      <text>
        <t>Loan: Win Win Loan, INTEREST_ONLY_BALLOON. Balance constant until balloon.</t>
      </text>
    </comment>
    <comment ref="D75" authorId="0" shapeId="0">
      <text>
        <t>Interest-only: entire payment is interest expense.</t>
      </text>
    </comment>
    <comment ref="E75" authorId="0" shapeId="0">
      <text>
        <t>Interest-only loan: no principal amortization until balloon.</t>
      </text>
    </comment>
    <comment ref="F75" authorId="0" shapeId="0">
      <text>
        <t>Interest-only: balance unchanged until balloon payment at maturity.</t>
      </text>
    </comment>
    <comment ref="C76" authorId="0" shapeId="0">
      <text>
        <t>Loan: Win Win Loan, INTEREST_ONLY_BALLOON. Balance constant until balloon.</t>
      </text>
    </comment>
    <comment ref="D76" authorId="0" shapeId="0">
      <text>
        <t>Interest-only: entire payment is interest expense.</t>
      </text>
    </comment>
    <comment ref="E76" authorId="0" shapeId="0">
      <text>
        <t>Interest-only loan: no principal amortization until balloon.</t>
      </text>
    </comment>
    <comment ref="F76" authorId="0" shapeId="0">
      <text>
        <t>Interest-only: balance unchanged until balloon payment at maturity.</t>
      </text>
    </comment>
    <comment ref="C77" authorId="0" shapeId="0">
      <text>
        <t>Loan: Win Win Loan, INTEREST_ONLY_BALLOON. Balance constant until balloon.</t>
      </text>
    </comment>
    <comment ref="D77" authorId="0" shapeId="0">
      <text>
        <t>Interest-only: entire payment is interest expense.</t>
      </text>
    </comment>
    <comment ref="E77" authorId="0" shapeId="0">
      <text>
        <t>Interest-only loan: no principal amortization until balloon.</t>
      </text>
    </comment>
    <comment ref="F77" authorId="0" shapeId="0">
      <text>
        <t>Interest-only: balance unchanged until balloon payment at maturity.</t>
      </text>
    </comment>
    <comment ref="C78" authorId="0" shapeId="0">
      <text>
        <t>Loan: Win Win Loan, INTEREST_ONLY_BALLOON. Balance constant until balloon.</t>
      </text>
    </comment>
    <comment ref="D78" authorId="0" shapeId="0">
      <text>
        <t>Interest-only: entire payment is interest expense.</t>
      </text>
    </comment>
    <comment ref="E78" authorId="0" shapeId="0">
      <text>
        <t>Interest-only loan: no principal amortization until balloon.</t>
      </text>
    </comment>
    <comment ref="F78" authorId="0" shapeId="0">
      <text>
        <t>Interest-only: balance unchanged until balloon payment at maturity.</t>
      </text>
    </comment>
    <comment ref="C79" authorId="0" shapeId="0">
      <text>
        <t>Loan: Win Win Loan, INTEREST_ONLY_BALLOON. Balance constant until balloon.</t>
      </text>
    </comment>
    <comment ref="D79" authorId="0" shapeId="0">
      <text>
        <t>Interest-only: entire payment is interest expense.</t>
      </text>
    </comment>
    <comment ref="E79" authorId="0" shapeId="0">
      <text>
        <t>Interest-only loan: no principal amortization until balloon.</t>
      </text>
    </comment>
    <comment ref="F79" authorId="0" shapeId="0">
      <text>
        <t>Interest-only: balance unchanged until balloon payment at maturity.</t>
      </text>
    </comment>
    <comment ref="C80" authorId="0" shapeId="0">
      <text>
        <t>Loan: Win Win Loan, INTEREST_ONLY_BALLOON. Balance constant until balloon.</t>
      </text>
    </comment>
    <comment ref="D80" authorId="0" shapeId="0">
      <text>
        <t>Interest-only: entire payment is interest expense.</t>
      </text>
    </comment>
    <comment ref="E80" authorId="0" shapeId="0">
      <text>
        <t>Interest-only loan: no principal amortization until balloon.</t>
      </text>
    </comment>
    <comment ref="F80" authorId="0" shapeId="0">
      <text>
        <t>Interest-only: balance unchanged until balloon payment at maturity.</t>
      </text>
    </comment>
    <comment ref="C81" authorId="0" shapeId="0">
      <text>
        <t>Loan: Win Win Loan, INTEREST_ONLY_BALLOON. Balance constant until balloon.</t>
      </text>
    </comment>
    <comment ref="D81" authorId="0" shapeId="0">
      <text>
        <t>Interest-only: entire payment is interest expense.</t>
      </text>
    </comment>
    <comment ref="E81" authorId="0" shapeId="0">
      <text>
        <t>Interest-only loan: no principal amortization until balloon.</t>
      </text>
    </comment>
    <comment ref="F81" authorId="0" shapeId="0">
      <text>
        <t>Interest-only: balance unchanged until balloon payment at maturity.</t>
      </text>
    </comment>
    <comment ref="C82" authorId="0" shapeId="0">
      <text>
        <t>Loan: Win Win Loan, INTEREST_ONLY_BALLOON. Balance constant until balloon.</t>
      </text>
    </comment>
    <comment ref="D82" authorId="0" shapeId="0">
      <text>
        <t>Interest-only: entire payment is interest expense.</t>
      </text>
    </comment>
    <comment ref="E82" authorId="0" shapeId="0">
      <text>
        <t>Interest-only loan: no principal amortization until balloon.</t>
      </text>
    </comment>
    <comment ref="F82" authorId="0" shapeId="0">
      <text>
        <t>Interest-only: balance unchanged until balloon payment at maturity.</t>
      </text>
    </comment>
    <comment ref="C83" authorId="0" shapeId="0">
      <text>
        <t>Loan: Win Win Loan, INTEREST_ONLY_BALLOON. Balance constant until balloon.</t>
      </text>
    </comment>
    <comment ref="D83" authorId="0" shapeId="0">
      <text>
        <t>Interest-only: entire payment is interest expense.</t>
      </text>
    </comment>
    <comment ref="E83" authorId="0" shapeId="0">
      <text>
        <t>Interest-only loan: no principal amortization until balloon.</t>
      </text>
    </comment>
    <comment ref="F83" authorId="0" shapeId="0">
      <text>
        <t>Interest-only: balance unchanged until balloon payment at maturity.</t>
      </text>
    </comment>
    <comment ref="C84" authorId="0" shapeId="0">
      <text>
        <t>Loan: Win Win Loan, INTEREST_ONLY_BALLOON. Balance constant until balloon.</t>
      </text>
    </comment>
    <comment ref="D84" authorId="0" shapeId="0">
      <text>
        <t>Interest-only: entire payment is interest expense.</t>
      </text>
    </comment>
    <comment ref="E84" authorId="0" shapeId="0">
      <text>
        <t>Interest-only loan: no principal amortization until balloon.</t>
      </text>
    </comment>
    <comment ref="F84" authorId="0" shapeId="0">
      <text>
        <t>Interest-only: balance unchanged until balloon payment at maturity.</t>
      </text>
    </comment>
    <comment ref="C85" authorId="0" shapeId="0">
      <text>
        <t>Loan: Win Win Loan, INTEREST_ONLY_BALLOON. Balance constant until balloon.</t>
      </text>
    </comment>
    <comment ref="D85" authorId="0" shapeId="0">
      <text>
        <t>Interest-only: entire payment is interest expense.</t>
      </text>
    </comment>
    <comment ref="E85" authorId="0" shapeId="0">
      <text>
        <t>Interest-only loan: no principal amortization until balloon.</t>
      </text>
    </comment>
    <comment ref="F85" authorId="0" shapeId="0">
      <text>
        <t>Interest-only: balance unchanged until balloon payment at maturity.</t>
      </text>
    </comment>
    <comment ref="C91" authorId="0" shapeId="0">
      <text>
        <t>Year-end balance for 2026. Constant for I/O loan.</t>
      </text>
    </comment>
    <comment ref="D91" authorId="0" shapeId="0">
      <text>
        <t>Total interest expense for 2026.</t>
      </text>
    </comment>
    <comment ref="E91" authorId="0" shapeId="0">
      <text>
        <t>No principal paid for I/O loan in 2026.</t>
      </text>
    </comment>
    <comment ref="C92" authorId="0" shapeId="0">
      <text>
        <t>Year-end balance for 2027. Constant for I/O loan.</t>
      </text>
    </comment>
    <comment ref="D92" authorId="0" shapeId="0">
      <text>
        <t>Total interest expense for 2027.</t>
      </text>
    </comment>
    <comment ref="E92" authorId="0" shapeId="0">
      <text>
        <t>No principal paid for I/O loan in 2027.</t>
      </text>
    </comment>
    <comment ref="C93" authorId="0" shapeId="0">
      <text>
        <t>Year-end balance for 2028. Constant for I/O loan.</t>
      </text>
    </comment>
    <comment ref="D93" authorId="0" shapeId="0">
      <text>
        <t>Total interest expense for 2028.</t>
      </text>
    </comment>
    <comment ref="E93" authorId="0" shapeId="0">
      <text>
        <t>No principal paid for I/O loan in 2028.</t>
      </text>
    </comment>
    <comment ref="C94" authorId="0" shapeId="0">
      <text>
        <t>Year-end balance for 2029. Constant for I/O loan.</t>
      </text>
    </comment>
    <comment ref="D94" authorId="0" shapeId="0">
      <text>
        <t>Total interest expense for 2029.</t>
      </text>
    </comment>
    <comment ref="E94" authorId="0" shapeId="0">
      <text>
        <t>No principal paid for I/O loan in 2029.</t>
      </text>
    </comment>
    <comment ref="C95" authorId="0" shapeId="0">
      <text>
        <t>Year-end balance for 2030. Constant for I/O loan.</t>
      </text>
    </comment>
    <comment ref="D95" authorId="0" shapeId="0">
      <text>
        <t>Total interest expense for 2030.</t>
      </text>
    </comment>
    <comment ref="E95" authorId="0" shapeId="0">
      <text>
        <t>No principal paid for I/O loan in 2030.</t>
      </text>
    </comment>
    <comment ref="B97" authorId="0" shapeId="0">
      <text>
        <t>Links to: assumption block row 12 — Principal Balance.</t>
      </text>
    </comment>
  </commentList>
</comments>
</file>

<file path=xl/comments/comment82.xml><?xml version="1.0" encoding="utf-8"?>
<comments xmlns="http://schemas.openxmlformats.org/spreadsheetml/2006/main">
  <authors>
    <author>Model Builder</author>
  </authors>
  <commentList>
    <comment ref="B12" authorId="0" shapeId="0">
      <text>
        <t>Source: loans.md - Loan 84
Interest-only loan - principal remains constant until balloon payment.</t>
      </text>
    </comment>
    <comment ref="B13" authorId="0" shapeId="0">
      <text>
        <t>Source: loans.md - Loan 84
Implied rate = Payment x 12 / Principal.</t>
      </text>
    </comment>
    <comment ref="B14" authorId="0" shapeId="0">
      <text>
        <t>Source: loans.md - Loan 84
Entire payment is interest expense - no principal reduction.</t>
      </text>
    </comment>
    <comment ref="C26" authorId="0" shapeId="0">
      <text>
        <t>Loan: Win Win Loan, INTEREST_ONLY_BALLOON. Balance constant until balloon.</t>
      </text>
    </comment>
    <comment ref="D26" authorId="0" shapeId="0">
      <text>
        <t>Interest-only: entire payment is interest expense.</t>
      </text>
    </comment>
    <comment ref="E26" authorId="0" shapeId="0">
      <text>
        <t>Interest-only loan: no principal amortization until balloon.</t>
      </text>
    </comment>
    <comment ref="F26" authorId="0" shapeId="0">
      <text>
        <t>Interest-only: balance unchanged until balloon payment at maturity.</t>
      </text>
    </comment>
    <comment ref="C27" authorId="0" shapeId="0">
      <text>
        <t>Loan: Win Win Loan, INTEREST_ONLY_BALLOON. Balance constant until balloon.</t>
      </text>
    </comment>
    <comment ref="D27" authorId="0" shapeId="0">
      <text>
        <t>Interest-only: entire payment is interest expense.</t>
      </text>
    </comment>
    <comment ref="E27" authorId="0" shapeId="0">
      <text>
        <t>Interest-only loan: no principal amortization until balloon.</t>
      </text>
    </comment>
    <comment ref="F27" authorId="0" shapeId="0">
      <text>
        <t>Interest-only: balance unchanged until balloon payment at maturity.</t>
      </text>
    </comment>
    <comment ref="C28" authorId="0" shapeId="0">
      <text>
        <t>Loan: Win Win Loan, INTEREST_ONLY_BALLOON. Balance constant until balloon.</t>
      </text>
    </comment>
    <comment ref="D28" authorId="0" shapeId="0">
      <text>
        <t>Interest-only: entire payment is interest expense.</t>
      </text>
    </comment>
    <comment ref="E28" authorId="0" shapeId="0">
      <text>
        <t>Interest-only loan: no principal amortization until balloon.</t>
      </text>
    </comment>
    <comment ref="F28" authorId="0" shapeId="0">
      <text>
        <t>Interest-only: balance unchanged until balloon payment at maturity.</t>
      </text>
    </comment>
    <comment ref="C29" authorId="0" shapeId="0">
      <text>
        <t>Loan: Win Win Loan, INTEREST_ONLY_BALLOON. Balance constant until balloon.</t>
      </text>
    </comment>
    <comment ref="D29" authorId="0" shapeId="0">
      <text>
        <t>Interest-only: entire payment is interest expense.</t>
      </text>
    </comment>
    <comment ref="E29" authorId="0" shapeId="0">
      <text>
        <t>Interest-only loan: no principal amortization until balloon.</t>
      </text>
    </comment>
    <comment ref="F29" authorId="0" shapeId="0">
      <text>
        <t>Interest-only: balance unchanged until balloon payment at maturity.</t>
      </text>
    </comment>
    <comment ref="C30" authorId="0" shapeId="0">
      <text>
        <t>Loan: Win Win Loan, INTEREST_ONLY_BALLOON. Balance constant until balloon.</t>
      </text>
    </comment>
    <comment ref="D30" authorId="0" shapeId="0">
      <text>
        <t>Interest-only: entire payment is interest expense.</t>
      </text>
    </comment>
    <comment ref="E30" authorId="0" shapeId="0">
      <text>
        <t>Interest-only loan: no principal amortization until balloon.</t>
      </text>
    </comment>
    <comment ref="F30" authorId="0" shapeId="0">
      <text>
        <t>Interest-only: balance unchanged until balloon payment at maturity.</t>
      </text>
    </comment>
    <comment ref="C31" authorId="0" shapeId="0">
      <text>
        <t>Loan: Win Win Loan, INTEREST_ONLY_BALLOON. Balance constant until balloon.</t>
      </text>
    </comment>
    <comment ref="D31" authorId="0" shapeId="0">
      <text>
        <t>Interest-only: entire payment is interest expense.</t>
      </text>
    </comment>
    <comment ref="E31" authorId="0" shapeId="0">
      <text>
        <t>Interest-only loan: no principal amortization until balloon.</t>
      </text>
    </comment>
    <comment ref="F31" authorId="0" shapeId="0">
      <text>
        <t>Interest-only: balance unchanged until balloon payment at maturity.</t>
      </text>
    </comment>
    <comment ref="C32" authorId="0" shapeId="0">
      <text>
        <t>Loan: Win Win Loan, INTEREST_ONLY_BALLOON. Balance constant until balloon.</t>
      </text>
    </comment>
    <comment ref="D32" authorId="0" shapeId="0">
      <text>
        <t>Interest-only: entire payment is interest expense.</t>
      </text>
    </comment>
    <comment ref="E32" authorId="0" shapeId="0">
      <text>
        <t>Interest-only loan: no principal amortization until balloon.</t>
      </text>
    </comment>
    <comment ref="F32" authorId="0" shapeId="0">
      <text>
        <t>Interest-only: balance unchanged until balloon payment at maturity.</t>
      </text>
    </comment>
    <comment ref="C33" authorId="0" shapeId="0">
      <text>
        <t>Loan: Win Win Loan, INTEREST_ONLY_BALLOON. Balance constant until balloon.</t>
      </text>
    </comment>
    <comment ref="D33" authorId="0" shapeId="0">
      <text>
        <t>Interest-only: entire payment is interest expense.</t>
      </text>
    </comment>
    <comment ref="E33" authorId="0" shapeId="0">
      <text>
        <t>Interest-only loan: no principal amortization until balloon.</t>
      </text>
    </comment>
    <comment ref="F33" authorId="0" shapeId="0">
      <text>
        <t>Interest-only: balance unchanged until balloon payment at maturity.</t>
      </text>
    </comment>
    <comment ref="C34" authorId="0" shapeId="0">
      <text>
        <t>Loan: Win Win Loan, INTEREST_ONLY_BALLOON. Balance constant until balloon.</t>
      </text>
    </comment>
    <comment ref="D34" authorId="0" shapeId="0">
      <text>
        <t>Interest-only: entire payment is interest expense.</t>
      </text>
    </comment>
    <comment ref="E34" authorId="0" shapeId="0">
      <text>
        <t>Interest-only loan: no principal amortization until balloon.</t>
      </text>
    </comment>
    <comment ref="F34" authorId="0" shapeId="0">
      <text>
        <t>Interest-only: balance unchanged until balloon payment at maturity.</t>
      </text>
    </comment>
    <comment ref="C35" authorId="0" shapeId="0">
      <text>
        <t>Loan: Win Win Loan, INTEREST_ONLY_BALLOON. Balance constant until balloon.</t>
      </text>
    </comment>
    <comment ref="D35" authorId="0" shapeId="0">
      <text>
        <t>Interest-only: entire payment is interest expense.</t>
      </text>
    </comment>
    <comment ref="E35" authorId="0" shapeId="0">
      <text>
        <t>Interest-only loan: no principal amortization until balloon.</t>
      </text>
    </comment>
    <comment ref="F35" authorId="0" shapeId="0">
      <text>
        <t>Interest-only: balance unchanged until balloon payment at maturity.</t>
      </text>
    </comment>
    <comment ref="C36" authorId="0" shapeId="0">
      <text>
        <t>Loan: Win Win Loan, INTEREST_ONLY_BALLOON. Balance constant until balloon.</t>
      </text>
    </comment>
    <comment ref="D36" authorId="0" shapeId="0">
      <text>
        <t>Interest-only: entire payment is interest expense.</t>
      </text>
    </comment>
    <comment ref="E36" authorId="0" shapeId="0">
      <text>
        <t>Interest-only loan: no principal amortization until balloon.</t>
      </text>
    </comment>
    <comment ref="F36" authorId="0" shapeId="0">
      <text>
        <t>Interest-only: balance unchanged until balloon payment at maturity.</t>
      </text>
    </comment>
    <comment ref="C37" authorId="0" shapeId="0">
      <text>
        <t>Loan: Win Win Loan, INTEREST_ONLY_BALLOON. Balance constant until balloon.</t>
      </text>
    </comment>
    <comment ref="D37" authorId="0" shapeId="0">
      <text>
        <t>Interest-only: entire payment is interest expense.</t>
      </text>
    </comment>
    <comment ref="E37" authorId="0" shapeId="0">
      <text>
        <t>Interest-only loan: no principal amortization until balloon.</t>
      </text>
    </comment>
    <comment ref="F37" authorId="0" shapeId="0">
      <text>
        <t>Interest-only: balance unchanged until balloon payment at maturity.</t>
      </text>
    </comment>
    <comment ref="C38" authorId="0" shapeId="0">
      <text>
        <t>Loan: Win Win Loan, INTEREST_ONLY_BALLOON. Balance constant until balloon.</t>
      </text>
    </comment>
    <comment ref="D38" authorId="0" shapeId="0">
      <text>
        <t>Interest-only: entire payment is interest expense.</t>
      </text>
    </comment>
    <comment ref="E38" authorId="0" shapeId="0">
      <text>
        <t>Interest-only loan: no principal amortization until balloon.</t>
      </text>
    </comment>
    <comment ref="F38" authorId="0" shapeId="0">
      <text>
        <t>Interest-only: balance unchanged until balloon payment at maturity.</t>
      </text>
    </comment>
    <comment ref="C39" authorId="0" shapeId="0">
      <text>
        <t>Loan: Win Win Loan, INTEREST_ONLY_BALLOON. Balance constant until balloon.</t>
      </text>
    </comment>
    <comment ref="D39" authorId="0" shapeId="0">
      <text>
        <t>Interest-only: entire payment is interest expense.</t>
      </text>
    </comment>
    <comment ref="E39" authorId="0" shapeId="0">
      <text>
        <t>Interest-only loan: no principal amortization until balloon.</t>
      </text>
    </comment>
    <comment ref="F39" authorId="0" shapeId="0">
      <text>
        <t>Interest-only: balance unchanged until balloon payment at maturity.</t>
      </text>
    </comment>
    <comment ref="C40" authorId="0" shapeId="0">
      <text>
        <t>Loan: Win Win Loan, INTEREST_ONLY_BALLOON. Balance constant until balloon.</t>
      </text>
    </comment>
    <comment ref="D40" authorId="0" shapeId="0">
      <text>
        <t>Interest-only: entire payment is interest expense.</t>
      </text>
    </comment>
    <comment ref="E40" authorId="0" shapeId="0">
      <text>
        <t>Interest-only loan: no principal amortization until balloon.</t>
      </text>
    </comment>
    <comment ref="F40" authorId="0" shapeId="0">
      <text>
        <t>Interest-only: balance unchanged until balloon payment at maturity.</t>
      </text>
    </comment>
    <comment ref="C41" authorId="0" shapeId="0">
      <text>
        <t>Loan: Win Win Loan, INTEREST_ONLY_BALLOON. Balance constant until balloon.</t>
      </text>
    </comment>
    <comment ref="D41" authorId="0" shapeId="0">
      <text>
        <t>Interest-only: entire payment is interest expense.</t>
      </text>
    </comment>
    <comment ref="E41" authorId="0" shapeId="0">
      <text>
        <t>Interest-only loan: no principal amortization until balloon.</t>
      </text>
    </comment>
    <comment ref="F41" authorId="0" shapeId="0">
      <text>
        <t>Interest-only: balance unchanged until balloon payment at maturity.</t>
      </text>
    </comment>
    <comment ref="C42" authorId="0" shapeId="0">
      <text>
        <t>Loan: Win Win Loan, INTEREST_ONLY_BALLOON. Balance constant until balloon.</t>
      </text>
    </comment>
    <comment ref="D42" authorId="0" shapeId="0">
      <text>
        <t>Interest-only: entire payment is interest expense.</t>
      </text>
    </comment>
    <comment ref="E42" authorId="0" shapeId="0">
      <text>
        <t>Interest-only loan: no principal amortization until balloon.</t>
      </text>
    </comment>
    <comment ref="F42" authorId="0" shapeId="0">
      <text>
        <t>Interest-only: balance unchanged until balloon payment at maturity.</t>
      </text>
    </comment>
    <comment ref="C43" authorId="0" shapeId="0">
      <text>
        <t>Loan: Win Win Loan, INTEREST_ONLY_BALLOON. Balance constant until balloon.</t>
      </text>
    </comment>
    <comment ref="D43" authorId="0" shapeId="0">
      <text>
        <t>Interest-only: entire payment is interest expense.</t>
      </text>
    </comment>
    <comment ref="E43" authorId="0" shapeId="0">
      <text>
        <t>Interest-only loan: no principal amortization until balloon.</t>
      </text>
    </comment>
    <comment ref="F43" authorId="0" shapeId="0">
      <text>
        <t>Interest-only: balance unchanged until balloon payment at maturity.</t>
      </text>
    </comment>
    <comment ref="C44" authorId="0" shapeId="0">
      <text>
        <t>Loan: Win Win Loan, INTEREST_ONLY_BALLOON. Balance constant until balloon.</t>
      </text>
    </comment>
    <comment ref="D44" authorId="0" shapeId="0">
      <text>
        <t>Interest-only: entire payment is interest expense.</t>
      </text>
    </comment>
    <comment ref="E44" authorId="0" shapeId="0">
      <text>
        <t>Interest-only loan: no principal amortization until balloon.</t>
      </text>
    </comment>
    <comment ref="F44" authorId="0" shapeId="0">
      <text>
        <t>Interest-only: balance unchanged until balloon payment at maturity.</t>
      </text>
    </comment>
    <comment ref="C45" authorId="0" shapeId="0">
      <text>
        <t>Loan: Win Win Loan, INTEREST_ONLY_BALLOON. Balance constant until balloon.</t>
      </text>
    </comment>
    <comment ref="D45" authorId="0" shapeId="0">
      <text>
        <t>Interest-only: entire payment is interest expense.</t>
      </text>
    </comment>
    <comment ref="E45" authorId="0" shapeId="0">
      <text>
        <t>Interest-only loan: no principal amortization until balloon.</t>
      </text>
    </comment>
    <comment ref="F45" authorId="0" shapeId="0">
      <text>
        <t>Interest-only: balance unchanged until balloon payment at maturity.</t>
      </text>
    </comment>
    <comment ref="C46" authorId="0" shapeId="0">
      <text>
        <t>Loan: Win Win Loan, INTEREST_ONLY_BALLOON. Balance constant until balloon.</t>
      </text>
    </comment>
    <comment ref="D46" authorId="0" shapeId="0">
      <text>
        <t>Interest-only: entire payment is interest expense.</t>
      </text>
    </comment>
    <comment ref="E46" authorId="0" shapeId="0">
      <text>
        <t>Interest-only loan: no principal amortization until balloon.</t>
      </text>
    </comment>
    <comment ref="F46" authorId="0" shapeId="0">
      <text>
        <t>Interest-only: balance unchanged until balloon payment at maturity.</t>
      </text>
    </comment>
    <comment ref="C47" authorId="0" shapeId="0">
      <text>
        <t>Loan: Win Win Loan, INTEREST_ONLY_BALLOON. Balance constant until balloon.</t>
      </text>
    </comment>
    <comment ref="D47" authorId="0" shapeId="0">
      <text>
        <t>Interest-only: entire payment is interest expense.</t>
      </text>
    </comment>
    <comment ref="E47" authorId="0" shapeId="0">
      <text>
        <t>Interest-only loan: no principal amortization until balloon.</t>
      </text>
    </comment>
    <comment ref="F47" authorId="0" shapeId="0">
      <text>
        <t>Interest-only: balance unchanged until balloon payment at maturity.</t>
      </text>
    </comment>
    <comment ref="C48" authorId="0" shapeId="0">
      <text>
        <t>Loan: Win Win Loan, INTEREST_ONLY_BALLOON. Balance constant until balloon.</t>
      </text>
    </comment>
    <comment ref="D48" authorId="0" shapeId="0">
      <text>
        <t>Interest-only: entire payment is interest expense.</t>
      </text>
    </comment>
    <comment ref="E48" authorId="0" shapeId="0">
      <text>
        <t>Interest-only loan: no principal amortization until balloon.</t>
      </text>
    </comment>
    <comment ref="F48" authorId="0" shapeId="0">
      <text>
        <t>Interest-only: balance unchanged until balloon payment at maturity.</t>
      </text>
    </comment>
    <comment ref="C49" authorId="0" shapeId="0">
      <text>
        <t>Loan: Win Win Loan, INTEREST_ONLY_BALLOON. Balance constant until balloon.</t>
      </text>
    </comment>
    <comment ref="D49" authorId="0" shapeId="0">
      <text>
        <t>Interest-only: entire payment is interest expense.</t>
      </text>
    </comment>
    <comment ref="E49" authorId="0" shapeId="0">
      <text>
        <t>Interest-only loan: no principal amortization until balloon.</t>
      </text>
    </comment>
    <comment ref="F49" authorId="0" shapeId="0">
      <text>
        <t>Interest-only: balance unchanged until balloon payment at maturity.</t>
      </text>
    </comment>
    <comment ref="C50" authorId="0" shapeId="0">
      <text>
        <t>Loan: Win Win Loan, INTEREST_ONLY_BALLOON. Balance constant until balloon.</t>
      </text>
    </comment>
    <comment ref="D50" authorId="0" shapeId="0">
      <text>
        <t>Interest-only: entire payment is interest expense.</t>
      </text>
    </comment>
    <comment ref="E50" authorId="0" shapeId="0">
      <text>
        <t>Interest-only loan: no principal amortization until balloon.</t>
      </text>
    </comment>
    <comment ref="F50" authorId="0" shapeId="0">
      <text>
        <t>Interest-only: balance unchanged until balloon payment at maturity.</t>
      </text>
    </comment>
    <comment ref="C51" authorId="0" shapeId="0">
      <text>
        <t>Loan: Win Win Loan, INTEREST_ONLY_BALLOON. Balance constant until balloon.</t>
      </text>
    </comment>
    <comment ref="D51" authorId="0" shapeId="0">
      <text>
        <t>Interest-only: entire payment is interest expense.</t>
      </text>
    </comment>
    <comment ref="E51" authorId="0" shapeId="0">
      <text>
        <t>Interest-only loan: no principal amortization until balloon.</t>
      </text>
    </comment>
    <comment ref="F51" authorId="0" shapeId="0">
      <text>
        <t>Interest-only: balance unchanged until balloon payment at maturity.</t>
      </text>
    </comment>
    <comment ref="C52" authorId="0" shapeId="0">
      <text>
        <t>Loan: Win Win Loan, INTEREST_ONLY_BALLOON. Balance constant until balloon.</t>
      </text>
    </comment>
    <comment ref="D52" authorId="0" shapeId="0">
      <text>
        <t>Interest-only: entire payment is interest expense.</t>
      </text>
    </comment>
    <comment ref="E52" authorId="0" shapeId="0">
      <text>
        <t>Interest-only loan: no principal amortization until balloon.</t>
      </text>
    </comment>
    <comment ref="F52" authorId="0" shapeId="0">
      <text>
        <t>Interest-only: balance unchanged until balloon payment at maturity.</t>
      </text>
    </comment>
    <comment ref="C53" authorId="0" shapeId="0">
      <text>
        <t>Loan: Win Win Loan, INTEREST_ONLY_BALLOON. Balance constant until balloon.</t>
      </text>
    </comment>
    <comment ref="D53" authorId="0" shapeId="0">
      <text>
        <t>Interest-only: entire payment is interest expense.</t>
      </text>
    </comment>
    <comment ref="E53" authorId="0" shapeId="0">
      <text>
        <t>Interest-only loan: no principal amortization until balloon.</t>
      </text>
    </comment>
    <comment ref="F53" authorId="0" shapeId="0">
      <text>
        <t>Interest-only: balance unchanged until balloon payment at maturity.</t>
      </text>
    </comment>
    <comment ref="C54" authorId="0" shapeId="0">
      <text>
        <t>Loan: Win Win Loan, INTEREST_ONLY_BALLOON. Balance constant until balloon.</t>
      </text>
    </comment>
    <comment ref="D54" authorId="0" shapeId="0">
      <text>
        <t>Interest-only: entire payment is interest expense.</t>
      </text>
    </comment>
    <comment ref="E54" authorId="0" shapeId="0">
      <text>
        <t>Interest-only loan: no principal amortization until balloon.</t>
      </text>
    </comment>
    <comment ref="F54" authorId="0" shapeId="0">
      <text>
        <t>Interest-only: balance unchanged until balloon payment at maturity.</t>
      </text>
    </comment>
    <comment ref="C55" authorId="0" shapeId="0">
      <text>
        <t>Loan: Win Win Loan, INTEREST_ONLY_BALLOON. Balance constant until balloon.</t>
      </text>
    </comment>
    <comment ref="D55" authorId="0" shapeId="0">
      <text>
        <t>Interest-only: entire payment is interest expense.</t>
      </text>
    </comment>
    <comment ref="E55" authorId="0" shapeId="0">
      <text>
        <t>Interest-only loan: no principal amortization until balloon.</t>
      </text>
    </comment>
    <comment ref="F55" authorId="0" shapeId="0">
      <text>
        <t>Interest-only: balance unchanged until balloon payment at maturity.</t>
      </text>
    </comment>
    <comment ref="C56" authorId="0" shapeId="0">
      <text>
        <t>Loan: Win Win Loan, INTEREST_ONLY_BALLOON. Balance constant until balloon.</t>
      </text>
    </comment>
    <comment ref="D56" authorId="0" shapeId="0">
      <text>
        <t>Interest-only: entire payment is interest expense.</t>
      </text>
    </comment>
    <comment ref="E56" authorId="0" shapeId="0">
      <text>
        <t>Interest-only loan: no principal amortization until balloon.</t>
      </text>
    </comment>
    <comment ref="F56" authorId="0" shapeId="0">
      <text>
        <t>Interest-only: balance unchanged until balloon payment at maturity.</t>
      </text>
    </comment>
    <comment ref="C57" authorId="0" shapeId="0">
      <text>
        <t>Loan: Win Win Loan, INTEREST_ONLY_BALLOON. Balance constant until balloon.</t>
      </text>
    </comment>
    <comment ref="D57" authorId="0" shapeId="0">
      <text>
        <t>Interest-only: entire payment is interest expense.</t>
      </text>
    </comment>
    <comment ref="E57" authorId="0" shapeId="0">
      <text>
        <t>Interest-only loan: no principal amortization until balloon.</t>
      </text>
    </comment>
    <comment ref="F57" authorId="0" shapeId="0">
      <text>
        <t>Interest-only: balance unchanged until balloon payment at maturity.</t>
      </text>
    </comment>
    <comment ref="C58" authorId="0" shapeId="0">
      <text>
        <t>Loan: Win Win Loan, INTEREST_ONLY_BALLOON. Balance constant until balloon.</t>
      </text>
    </comment>
    <comment ref="D58" authorId="0" shapeId="0">
      <text>
        <t>Interest-only: entire payment is interest expense.</t>
      </text>
    </comment>
    <comment ref="E58" authorId="0" shapeId="0">
      <text>
        <t>Interest-only loan: no principal amortization until balloon.</t>
      </text>
    </comment>
    <comment ref="F58" authorId="0" shapeId="0">
      <text>
        <t>Interest-only: balance unchanged until balloon payment at maturity.</t>
      </text>
    </comment>
    <comment ref="C59" authorId="0" shapeId="0">
      <text>
        <t>Loan: Win Win Loan, INTEREST_ONLY_BALLOON. Balance constant until balloon.</t>
      </text>
    </comment>
    <comment ref="D59" authorId="0" shapeId="0">
      <text>
        <t>Interest-only: entire payment is interest expense.</t>
      </text>
    </comment>
    <comment ref="E59" authorId="0" shapeId="0">
      <text>
        <t>Interest-only loan: no principal amortization until balloon.</t>
      </text>
    </comment>
    <comment ref="F59" authorId="0" shapeId="0">
      <text>
        <t>Interest-only: balance unchanged until balloon payment at maturity.</t>
      </text>
    </comment>
    <comment ref="C60" authorId="0" shapeId="0">
      <text>
        <t>Loan: Win Win Loan, INTEREST_ONLY_BALLOON. Balance constant until balloon.</t>
      </text>
    </comment>
    <comment ref="D60" authorId="0" shapeId="0">
      <text>
        <t>Interest-only: entire payment is interest expense.</t>
      </text>
    </comment>
    <comment ref="E60" authorId="0" shapeId="0">
      <text>
        <t>Interest-only loan: no principal amortization until balloon.</t>
      </text>
    </comment>
    <comment ref="F60" authorId="0" shapeId="0">
      <text>
        <t>Interest-only: balance unchanged until balloon payment at maturity.</t>
      </text>
    </comment>
    <comment ref="C61" authorId="0" shapeId="0">
      <text>
        <t>Loan: Win Win Loan, INTEREST_ONLY_BALLOON. Balance constant until balloon.</t>
      </text>
    </comment>
    <comment ref="D61" authorId="0" shapeId="0">
      <text>
        <t>Interest-only: entire payment is interest expense.</t>
      </text>
    </comment>
    <comment ref="E61" authorId="0" shapeId="0">
      <text>
        <t>Interest-only loan: no principal amortization until balloon.</t>
      </text>
    </comment>
    <comment ref="F61" authorId="0" shapeId="0">
      <text>
        <t>Interest-only: balance unchanged until balloon payment at maturity.</t>
      </text>
    </comment>
    <comment ref="C62" authorId="0" shapeId="0">
      <text>
        <t>Loan: Win Win Loan, INTEREST_ONLY_BALLOON. Balance constant until balloon.</t>
      </text>
    </comment>
    <comment ref="D62" authorId="0" shapeId="0">
      <text>
        <t>Interest-only: entire payment is interest expense.</t>
      </text>
    </comment>
    <comment ref="E62" authorId="0" shapeId="0">
      <text>
        <t>Interest-only loan: no principal amortization until balloon.</t>
      </text>
    </comment>
    <comment ref="F62" authorId="0" shapeId="0">
      <text>
        <t>Interest-only: balance unchanged until balloon payment at maturity.</t>
      </text>
    </comment>
    <comment ref="C63" authorId="0" shapeId="0">
      <text>
        <t>Loan: Win Win Loan, INTEREST_ONLY_BALLOON. Balance constant until balloon.</t>
      </text>
    </comment>
    <comment ref="D63" authorId="0" shapeId="0">
      <text>
        <t>Interest-only: entire payment is interest expense.</t>
      </text>
    </comment>
    <comment ref="E63" authorId="0" shapeId="0">
      <text>
        <t>Interest-only loan: no principal amortization until balloon.</t>
      </text>
    </comment>
    <comment ref="F63" authorId="0" shapeId="0">
      <text>
        <t>Interest-only: balance unchanged until balloon payment at maturity.</t>
      </text>
    </comment>
    <comment ref="C64" authorId="0" shapeId="0">
      <text>
        <t>Loan: Win Win Loan, INTEREST_ONLY_BALLOON. Balance constant until balloon.</t>
      </text>
    </comment>
    <comment ref="D64" authorId="0" shapeId="0">
      <text>
        <t>Interest-only: entire payment is interest expense.</t>
      </text>
    </comment>
    <comment ref="E64" authorId="0" shapeId="0">
      <text>
        <t>Interest-only loan: no principal amortization until balloon.</t>
      </text>
    </comment>
    <comment ref="F64" authorId="0" shapeId="0">
      <text>
        <t>Interest-only: balance unchanged until balloon payment at maturity.</t>
      </text>
    </comment>
    <comment ref="C65" authorId="0" shapeId="0">
      <text>
        <t>Loan: Win Win Loan, INTEREST_ONLY_BALLOON. Balance constant until balloon.</t>
      </text>
    </comment>
    <comment ref="D65" authorId="0" shapeId="0">
      <text>
        <t>Interest-only: entire payment is interest expense.</t>
      </text>
    </comment>
    <comment ref="E65" authorId="0" shapeId="0">
      <text>
        <t>Interest-only loan: no principal amortization until balloon.</t>
      </text>
    </comment>
    <comment ref="F65" authorId="0" shapeId="0">
      <text>
        <t>Interest-only: balance unchanged until balloon payment at maturity.</t>
      </text>
    </comment>
    <comment ref="C66" authorId="0" shapeId="0">
      <text>
        <t>Loan: Win Win Loan, INTEREST_ONLY_BALLOON. Balance constant until balloon.</t>
      </text>
    </comment>
    <comment ref="D66" authorId="0" shapeId="0">
      <text>
        <t>Interest-only: entire payment is interest expense.</t>
      </text>
    </comment>
    <comment ref="E66" authorId="0" shapeId="0">
      <text>
        <t>Interest-only loan: no principal amortization until balloon.</t>
      </text>
    </comment>
    <comment ref="F66" authorId="0" shapeId="0">
      <text>
        <t>Interest-only: balance unchanged until balloon payment at maturity.</t>
      </text>
    </comment>
    <comment ref="C67" authorId="0" shapeId="0">
      <text>
        <t>Loan: Win Win Loan, INTEREST_ONLY_BALLOON. Balance constant until balloon.</t>
      </text>
    </comment>
    <comment ref="D67" authorId="0" shapeId="0">
      <text>
        <t>Interest-only: entire payment is interest expense.</t>
      </text>
    </comment>
    <comment ref="E67" authorId="0" shapeId="0">
      <text>
        <t>Interest-only loan: no principal amortization until balloon.</t>
      </text>
    </comment>
    <comment ref="F67" authorId="0" shapeId="0">
      <text>
        <t>Interest-only: balance unchanged until balloon payment at maturity.</t>
      </text>
    </comment>
    <comment ref="C68" authorId="0" shapeId="0">
      <text>
        <t>Loan: Win Win Loan, INTEREST_ONLY_BALLOON. Balance constant until balloon.</t>
      </text>
    </comment>
    <comment ref="D68" authorId="0" shapeId="0">
      <text>
        <t>Interest-only: entire payment is interest expense.</t>
      </text>
    </comment>
    <comment ref="E68" authorId="0" shapeId="0">
      <text>
        <t>Interest-only loan: no principal amortization until balloon.</t>
      </text>
    </comment>
    <comment ref="F68" authorId="0" shapeId="0">
      <text>
        <t>Interest-only: balance unchanged until balloon payment at maturity.</t>
      </text>
    </comment>
    <comment ref="C69" authorId="0" shapeId="0">
      <text>
        <t>Loan: Win Win Loan, INTEREST_ONLY_BALLOON. Balance constant until balloon.</t>
      </text>
    </comment>
    <comment ref="D69" authorId="0" shapeId="0">
      <text>
        <t>Interest-only: entire payment is interest expense.</t>
      </text>
    </comment>
    <comment ref="E69" authorId="0" shapeId="0">
      <text>
        <t>Interest-only loan: no principal amortization until balloon.</t>
      </text>
    </comment>
    <comment ref="F69" authorId="0" shapeId="0">
      <text>
        <t>Interest-only: balance unchanged until balloon payment at maturity.</t>
      </text>
    </comment>
    <comment ref="C70" authorId="0" shapeId="0">
      <text>
        <t>Loan: Win Win Loan, INTEREST_ONLY_BALLOON. Balance constant until balloon.</t>
      </text>
    </comment>
    <comment ref="D70" authorId="0" shapeId="0">
      <text>
        <t>Interest-only: entire payment is interest expense.</t>
      </text>
    </comment>
    <comment ref="E70" authorId="0" shapeId="0">
      <text>
        <t>Interest-only loan: no principal amortization until balloon.</t>
      </text>
    </comment>
    <comment ref="F70" authorId="0" shapeId="0">
      <text>
        <t>Interest-only: balance unchanged until balloon payment at maturity.</t>
      </text>
    </comment>
    <comment ref="C71" authorId="0" shapeId="0">
      <text>
        <t>Loan: Win Win Loan, INTEREST_ONLY_BALLOON. Balance constant until balloon.</t>
      </text>
    </comment>
    <comment ref="D71" authorId="0" shapeId="0">
      <text>
        <t>Interest-only: entire payment is interest expense.</t>
      </text>
    </comment>
    <comment ref="E71" authorId="0" shapeId="0">
      <text>
        <t>Interest-only loan: no principal amortization until balloon.</t>
      </text>
    </comment>
    <comment ref="F71" authorId="0" shapeId="0">
      <text>
        <t>Interest-only: balance unchanged until balloon payment at maturity.</t>
      </text>
    </comment>
    <comment ref="C72" authorId="0" shapeId="0">
      <text>
        <t>Loan: Win Win Loan, INTEREST_ONLY_BALLOON. Balance constant until balloon.</t>
      </text>
    </comment>
    <comment ref="D72" authorId="0" shapeId="0">
      <text>
        <t>Interest-only: entire payment is interest expense.</t>
      </text>
    </comment>
    <comment ref="E72" authorId="0" shapeId="0">
      <text>
        <t>Interest-only loan: no principal amortization until balloon.</t>
      </text>
    </comment>
    <comment ref="F72" authorId="0" shapeId="0">
      <text>
        <t>Interest-only: balance unchanged until balloon payment at maturity.</t>
      </text>
    </comment>
    <comment ref="C73" authorId="0" shapeId="0">
      <text>
        <t>Loan: Win Win Loan, INTEREST_ONLY_BALLOON. Balance constant until balloon.</t>
      </text>
    </comment>
    <comment ref="D73" authorId="0" shapeId="0">
      <text>
        <t>Interest-only: entire payment is interest expense.</t>
      </text>
    </comment>
    <comment ref="E73" authorId="0" shapeId="0">
      <text>
        <t>Interest-only loan: no principal amortization until balloon.</t>
      </text>
    </comment>
    <comment ref="F73" authorId="0" shapeId="0">
      <text>
        <t>Interest-only: balance unchanged until balloon payment at maturity.</t>
      </text>
    </comment>
    <comment ref="C74" authorId="0" shapeId="0">
      <text>
        <t>Loan: Win Win Loan, INTEREST_ONLY_BALLOON. Balance constant until balloon.</t>
      </text>
    </comment>
    <comment ref="D74" authorId="0" shapeId="0">
      <text>
        <t>Interest-only: entire payment is interest expense.</t>
      </text>
    </comment>
    <comment ref="E74" authorId="0" shapeId="0">
      <text>
        <t>Interest-only loan: no principal amortization until balloon.</t>
      </text>
    </comment>
    <comment ref="F74" authorId="0" shapeId="0">
      <text>
        <t>Interest-only: balance unchanged until balloon payment at maturity.</t>
      </text>
    </comment>
    <comment ref="C75" authorId="0" shapeId="0">
      <text>
        <t>Loan: Win Win Loan, INTEREST_ONLY_BALLOON. Balance constant until balloon.</t>
      </text>
    </comment>
    <comment ref="D75" authorId="0" shapeId="0">
      <text>
        <t>Interest-only: entire payment is interest expense.</t>
      </text>
    </comment>
    <comment ref="E75" authorId="0" shapeId="0">
      <text>
        <t>Interest-only loan: no principal amortization until balloon.</t>
      </text>
    </comment>
    <comment ref="F75" authorId="0" shapeId="0">
      <text>
        <t>Interest-only: balance unchanged until balloon payment at maturity.</t>
      </text>
    </comment>
    <comment ref="C76" authorId="0" shapeId="0">
      <text>
        <t>Loan: Win Win Loan, INTEREST_ONLY_BALLOON. Balance constant until balloon.</t>
      </text>
    </comment>
    <comment ref="D76" authorId="0" shapeId="0">
      <text>
        <t>Interest-only: entire payment is interest expense.</t>
      </text>
    </comment>
    <comment ref="E76" authorId="0" shapeId="0">
      <text>
        <t>Interest-only loan: no principal amortization until balloon.</t>
      </text>
    </comment>
    <comment ref="F76" authorId="0" shapeId="0">
      <text>
        <t>Interest-only: balance unchanged until balloon payment at maturity.</t>
      </text>
    </comment>
    <comment ref="C77" authorId="0" shapeId="0">
      <text>
        <t>Loan: Win Win Loan, INTEREST_ONLY_BALLOON. Balance constant until balloon.</t>
      </text>
    </comment>
    <comment ref="D77" authorId="0" shapeId="0">
      <text>
        <t>Interest-only: entire payment is interest expense.</t>
      </text>
    </comment>
    <comment ref="E77" authorId="0" shapeId="0">
      <text>
        <t>Interest-only loan: no principal amortization until balloon.</t>
      </text>
    </comment>
    <comment ref="F77" authorId="0" shapeId="0">
      <text>
        <t>Interest-only: balance unchanged until balloon payment at maturity.</t>
      </text>
    </comment>
    <comment ref="C78" authorId="0" shapeId="0">
      <text>
        <t>Loan: Win Win Loan, INTEREST_ONLY_BALLOON. Balance constant until balloon.</t>
      </text>
    </comment>
    <comment ref="D78" authorId="0" shapeId="0">
      <text>
        <t>Interest-only: entire payment is interest expense.</t>
      </text>
    </comment>
    <comment ref="E78" authorId="0" shapeId="0">
      <text>
        <t>Interest-only loan: no principal amortization until balloon.</t>
      </text>
    </comment>
    <comment ref="F78" authorId="0" shapeId="0">
      <text>
        <t>Interest-only: balance unchanged until balloon payment at maturity.</t>
      </text>
    </comment>
    <comment ref="C79" authorId="0" shapeId="0">
      <text>
        <t>Loan: Win Win Loan, INTEREST_ONLY_BALLOON. Balance constant until balloon.</t>
      </text>
    </comment>
    <comment ref="D79" authorId="0" shapeId="0">
      <text>
        <t>Interest-only: entire payment is interest expense.</t>
      </text>
    </comment>
    <comment ref="E79" authorId="0" shapeId="0">
      <text>
        <t>Interest-only loan: no principal amortization until balloon.</t>
      </text>
    </comment>
    <comment ref="F79" authorId="0" shapeId="0">
      <text>
        <t>Interest-only: balance unchanged until balloon payment at maturity.</t>
      </text>
    </comment>
    <comment ref="C80" authorId="0" shapeId="0">
      <text>
        <t>Loan: Win Win Loan, INTEREST_ONLY_BALLOON. Balance constant until balloon.</t>
      </text>
    </comment>
    <comment ref="D80" authorId="0" shapeId="0">
      <text>
        <t>Interest-only: entire payment is interest expense.</t>
      </text>
    </comment>
    <comment ref="E80" authorId="0" shapeId="0">
      <text>
        <t>Interest-only loan: no principal amortization until balloon.</t>
      </text>
    </comment>
    <comment ref="F80" authorId="0" shapeId="0">
      <text>
        <t>Interest-only: balance unchanged until balloon payment at maturity.</t>
      </text>
    </comment>
    <comment ref="C81" authorId="0" shapeId="0">
      <text>
        <t>Loan: Win Win Loan, INTEREST_ONLY_BALLOON. Balance constant until balloon.</t>
      </text>
    </comment>
    <comment ref="D81" authorId="0" shapeId="0">
      <text>
        <t>Interest-only: entire payment is interest expense.</t>
      </text>
    </comment>
    <comment ref="E81" authorId="0" shapeId="0">
      <text>
        <t>Interest-only loan: no principal amortization until balloon.</t>
      </text>
    </comment>
    <comment ref="F81" authorId="0" shapeId="0">
      <text>
        <t>Interest-only: balance unchanged until balloon payment at maturity.</t>
      </text>
    </comment>
    <comment ref="C82" authorId="0" shapeId="0">
      <text>
        <t>Loan: Win Win Loan, INTEREST_ONLY_BALLOON. Balance constant until balloon.</t>
      </text>
    </comment>
    <comment ref="D82" authorId="0" shapeId="0">
      <text>
        <t>Interest-only: entire payment is interest expense.</t>
      </text>
    </comment>
    <comment ref="E82" authorId="0" shapeId="0">
      <text>
        <t>Interest-only loan: no principal amortization until balloon.</t>
      </text>
    </comment>
    <comment ref="F82" authorId="0" shapeId="0">
      <text>
        <t>Interest-only: balance unchanged until balloon payment at maturity.</t>
      </text>
    </comment>
    <comment ref="C83" authorId="0" shapeId="0">
      <text>
        <t>Loan: Win Win Loan, INTEREST_ONLY_BALLOON. Balance constant until balloon.</t>
      </text>
    </comment>
    <comment ref="D83" authorId="0" shapeId="0">
      <text>
        <t>Interest-only: entire payment is interest expense.</t>
      </text>
    </comment>
    <comment ref="E83" authorId="0" shapeId="0">
      <text>
        <t>Interest-only loan: no principal amortization until balloon.</t>
      </text>
    </comment>
    <comment ref="F83" authorId="0" shapeId="0">
      <text>
        <t>Interest-only: balance unchanged until balloon payment at maturity.</t>
      </text>
    </comment>
    <comment ref="C84" authorId="0" shapeId="0">
      <text>
        <t>Loan: Win Win Loan, INTEREST_ONLY_BALLOON. Balance constant until balloon.</t>
      </text>
    </comment>
    <comment ref="D84" authorId="0" shapeId="0">
      <text>
        <t>Interest-only: entire payment is interest expense.</t>
      </text>
    </comment>
    <comment ref="E84" authorId="0" shapeId="0">
      <text>
        <t>Interest-only loan: no principal amortization until balloon.</t>
      </text>
    </comment>
    <comment ref="F84" authorId="0" shapeId="0">
      <text>
        <t>Interest-only: balance unchanged until balloon payment at maturity.</t>
      </text>
    </comment>
    <comment ref="C85" authorId="0" shapeId="0">
      <text>
        <t>Loan: Win Win Loan, INTEREST_ONLY_BALLOON. Balance constant until balloon.</t>
      </text>
    </comment>
    <comment ref="D85" authorId="0" shapeId="0">
      <text>
        <t>Interest-only: entire payment is interest expense.</t>
      </text>
    </comment>
    <comment ref="E85" authorId="0" shapeId="0">
      <text>
        <t>Interest-only loan: no principal amortization until balloon.</t>
      </text>
    </comment>
    <comment ref="F85" authorId="0" shapeId="0">
      <text>
        <t>Interest-only: balance unchanged until balloon payment at maturity.</t>
      </text>
    </comment>
    <comment ref="C91" authorId="0" shapeId="0">
      <text>
        <t>Year-end balance for 2026. Constant for I/O loan.</t>
      </text>
    </comment>
    <comment ref="D91" authorId="0" shapeId="0">
      <text>
        <t>Total interest expense for 2026.</t>
      </text>
    </comment>
    <comment ref="E91" authorId="0" shapeId="0">
      <text>
        <t>No principal paid for I/O loan in 2026.</t>
      </text>
    </comment>
    <comment ref="C92" authorId="0" shapeId="0">
      <text>
        <t>Year-end balance for 2027. Constant for I/O loan.</t>
      </text>
    </comment>
    <comment ref="D92" authorId="0" shapeId="0">
      <text>
        <t>Total interest expense for 2027.</t>
      </text>
    </comment>
    <comment ref="E92" authorId="0" shapeId="0">
      <text>
        <t>No principal paid for I/O loan in 2027.</t>
      </text>
    </comment>
    <comment ref="C93" authorId="0" shapeId="0">
      <text>
        <t>Year-end balance for 2028. Constant for I/O loan.</t>
      </text>
    </comment>
    <comment ref="D93" authorId="0" shapeId="0">
      <text>
        <t>Total interest expense for 2028.</t>
      </text>
    </comment>
    <comment ref="E93" authorId="0" shapeId="0">
      <text>
        <t>No principal paid for I/O loan in 2028.</t>
      </text>
    </comment>
    <comment ref="C94" authorId="0" shapeId="0">
      <text>
        <t>Year-end balance for 2029. Constant for I/O loan.</t>
      </text>
    </comment>
    <comment ref="D94" authorId="0" shapeId="0">
      <text>
        <t>Total interest expense for 2029.</t>
      </text>
    </comment>
    <comment ref="E94" authorId="0" shapeId="0">
      <text>
        <t>No principal paid for I/O loan in 2029.</t>
      </text>
    </comment>
    <comment ref="C95" authorId="0" shapeId="0">
      <text>
        <t>Year-end balance for 2030. Constant for I/O loan.</t>
      </text>
    </comment>
    <comment ref="D95" authorId="0" shapeId="0">
      <text>
        <t>Total interest expense for 2030.</t>
      </text>
    </comment>
    <comment ref="E95" authorId="0" shapeId="0">
      <text>
        <t>No principal paid for I/O loan in 2030.</t>
      </text>
    </comment>
    <comment ref="B97" authorId="0" shapeId="0">
      <text>
        <t>Links to: assumption block row 12 — Principal Balance.</t>
      </text>
    </comment>
  </commentList>
</comments>
</file>

<file path=xl/comments/comment83.xml><?xml version="1.0" encoding="utf-8"?>
<comments xmlns="http://schemas.openxmlformats.org/spreadsheetml/2006/main">
  <authors>
    <author>Model Builder</author>
  </authors>
  <commentList>
    <comment ref="B2" authorId="0" shapeId="0">
      <text>
        <t>Source: data/loans.md - Mercedes section
Extracted: 2025-12-31</t>
      </text>
    </comment>
    <comment ref="B6" authorId="0" shapeId="0">
      <text>
        <t>Source: data/loans.md - Balance as of 12/31/2025
Loan: Mercedes, Mercedes. Source: Meiborg_Debt_Schedule_202512.xlsx</t>
      </text>
    </comment>
    <comment ref="B7" authorId="0" shapeId="0">
      <text>
        <t>Driver: Annual interest rate 3.99%. Source: Meiborg_Debt_Schedule_202512.xlsx</t>
      </text>
    </comment>
    <comment ref="C18" authorId="0" shapeId="0">
      <text>
        <t>Loan: Mercedes, Mercedes. Source: Meiborg_Debt_Schedule_202512.xlsx</t>
      </text>
    </comment>
    <comment ref="D18" authorId="0" shapeId="0">
      <text>
        <t>Loan: Mercedes, Mercedes. Interest = MAX(0, Opening * Rate/12)</t>
      </text>
    </comment>
    <comment ref="E18" authorId="0" shapeId="0">
      <text>
        <t>Loan: Mercedes, Mercedes. Principal = MAX(0, MIN(Opening, Payment - Interest))</t>
      </text>
    </comment>
    <comment ref="F18" authorId="0" shapeId="0">
      <text>
        <t>Loan: Mercedes, Mercedes. Closing = MAX(0, Opening - Principal)</t>
      </text>
    </comment>
    <comment ref="C19" authorId="0" shapeId="0">
      <text>
        <t>Loan: Mercedes, Mercedes. Source: Meiborg_Debt_Schedule_202512.xlsx</t>
      </text>
    </comment>
    <comment ref="D19" authorId="0" shapeId="0">
      <text>
        <t>Loan: Mercedes, Mercedes. Interest = MAX(0, Opening * Rate/12)</t>
      </text>
    </comment>
    <comment ref="E19" authorId="0" shapeId="0">
      <text>
        <t>Loan: Mercedes, Mercedes. Principal = MAX(0, MIN(Opening, Payment - Interest))</t>
      </text>
    </comment>
    <comment ref="F19" authorId="0" shapeId="0">
      <text>
        <t>Loan: Mercedes, Mercedes. Closing = MAX(0, Opening - Principal)</t>
      </text>
    </comment>
    <comment ref="C20" authorId="0" shapeId="0">
      <text>
        <t>Loan: Mercedes, Mercedes. Source: Meiborg_Debt_Schedule_202512.xlsx</t>
      </text>
    </comment>
    <comment ref="D20" authorId="0" shapeId="0">
      <text>
        <t>Loan: Mercedes, Mercedes. Interest = MAX(0, Opening * Rate/12)</t>
      </text>
    </comment>
    <comment ref="E20" authorId="0" shapeId="0">
      <text>
        <t>Loan: Mercedes, Mercedes. Principal = MAX(0, MIN(Opening, Payment - Interest))</t>
      </text>
    </comment>
    <comment ref="F20" authorId="0" shapeId="0">
      <text>
        <t>Loan: Mercedes, Mercedes. Closing = MAX(0, Opening - Principal)</t>
      </text>
    </comment>
    <comment ref="C21" authorId="0" shapeId="0">
      <text>
        <t>Loan: Mercedes, Mercedes. Source: Meiborg_Debt_Schedule_202512.xlsx</t>
      </text>
    </comment>
    <comment ref="D21" authorId="0" shapeId="0">
      <text>
        <t>Loan: Mercedes, Mercedes. Interest = MAX(0, Opening * Rate/12)</t>
      </text>
    </comment>
    <comment ref="E21" authorId="0" shapeId="0">
      <text>
        <t>Loan: Mercedes, Mercedes. Principal = MAX(0, MIN(Opening, Payment - Interest))</t>
      </text>
    </comment>
    <comment ref="F21" authorId="0" shapeId="0">
      <text>
        <t>Loan: Mercedes, Mercedes. Closing = MAX(0, Opening - Principal)</t>
      </text>
    </comment>
    <comment ref="C22" authorId="0" shapeId="0">
      <text>
        <t>Loan: Mercedes, Mercedes. Source: Meiborg_Debt_Schedule_202512.xlsx</t>
      </text>
    </comment>
    <comment ref="D22" authorId="0" shapeId="0">
      <text>
        <t>Loan: Mercedes, Mercedes. Interest = MAX(0, Opening * Rate/12)</t>
      </text>
    </comment>
    <comment ref="E22" authorId="0" shapeId="0">
      <text>
        <t>Loan: Mercedes, Mercedes. Principal = MAX(0, MIN(Opening, Payment - Interest))</t>
      </text>
    </comment>
    <comment ref="F22" authorId="0" shapeId="0">
      <text>
        <t>Loan: Mercedes, Mercedes. Closing = MAX(0, Opening - Principal)</t>
      </text>
    </comment>
    <comment ref="C23" authorId="0" shapeId="0">
      <text>
        <t>Loan: Mercedes, Mercedes. Source: Meiborg_Debt_Schedule_202512.xlsx</t>
      </text>
    </comment>
    <comment ref="D23" authorId="0" shapeId="0">
      <text>
        <t>Loan: Mercedes, Mercedes. Interest = MAX(0, Opening * Rate/12)</t>
      </text>
    </comment>
    <comment ref="E23" authorId="0" shapeId="0">
      <text>
        <t>Loan: Mercedes, Mercedes. Principal = MAX(0, MIN(Opening, Payment - Interest))</t>
      </text>
    </comment>
    <comment ref="F23" authorId="0" shapeId="0">
      <text>
        <t>Loan: Mercedes, Mercedes. Closing = MAX(0, Opening - Principal)</t>
      </text>
    </comment>
    <comment ref="C24" authorId="0" shapeId="0">
      <text>
        <t>Loan: Mercedes, Mercedes. Source: Meiborg_Debt_Schedule_202512.xlsx</t>
      </text>
    </comment>
    <comment ref="D24" authorId="0" shapeId="0">
      <text>
        <t>Loan: Mercedes, Mercedes. Interest = MAX(0, Opening * Rate/12)</t>
      </text>
    </comment>
    <comment ref="E24" authorId="0" shapeId="0">
      <text>
        <t>Loan: Mercedes, Mercedes. Principal = MAX(0, MIN(Opening, Payment - Interest))</t>
      </text>
    </comment>
    <comment ref="F24" authorId="0" shapeId="0">
      <text>
        <t>Loan: Mercedes, Mercedes. Closing = MAX(0, Opening - Principal)</t>
      </text>
    </comment>
    <comment ref="C25" authorId="0" shapeId="0">
      <text>
        <t>Loan: Mercedes, Mercedes. Source: Meiborg_Debt_Schedule_202512.xlsx</t>
      </text>
    </comment>
    <comment ref="D25" authorId="0" shapeId="0">
      <text>
        <t>Loan: Mercedes, Mercedes. Interest = MAX(0, Opening * Rate/12)</t>
      </text>
    </comment>
    <comment ref="E25" authorId="0" shapeId="0">
      <text>
        <t>Loan: Mercedes, Mercedes. Principal = MAX(0, MIN(Opening, Payment - Interest))</t>
      </text>
    </comment>
    <comment ref="F25" authorId="0" shapeId="0">
      <text>
        <t>Loan: Mercedes, Mercedes. Closing = MAX(0, Opening - Principal)</t>
      </text>
    </comment>
    <comment ref="C26" authorId="0" shapeId="0">
      <text>
        <t>Loan: Mercedes, Mercedes. Source: Meiborg_Debt_Schedule_202512.xlsx</t>
      </text>
    </comment>
    <comment ref="D26" authorId="0" shapeId="0">
      <text>
        <t>Loan: Mercedes, Mercedes. Interest = MAX(0, Opening * Rate/12)</t>
      </text>
    </comment>
    <comment ref="E26" authorId="0" shapeId="0">
      <text>
        <t>Loan: Mercedes, Mercedes. Principal = MAX(0, MIN(Opening, Payment - Interest))</t>
      </text>
    </comment>
    <comment ref="F26" authorId="0" shapeId="0">
      <text>
        <t>Loan: Mercedes, Mercedes. Closing = MAX(0, Opening - Principal)</t>
      </text>
    </comment>
    <comment ref="C27" authorId="0" shapeId="0">
      <text>
        <t>Loan: Mercedes, Mercedes. Source: Meiborg_Debt_Schedule_202512.xlsx</t>
      </text>
    </comment>
    <comment ref="D27" authorId="0" shapeId="0">
      <text>
        <t>Loan: Mercedes, Mercedes. Interest = MAX(0, Opening * Rate/12)</t>
      </text>
    </comment>
    <comment ref="E27" authorId="0" shapeId="0">
      <text>
        <t>Loan: Mercedes, Mercedes. Principal = MAX(0, MIN(Opening, Payment - Interest))</t>
      </text>
    </comment>
    <comment ref="F27" authorId="0" shapeId="0">
      <text>
        <t>Loan: Mercedes, Mercedes. Closing = MAX(0, Opening - Principal)</t>
      </text>
    </comment>
    <comment ref="C28" authorId="0" shapeId="0">
      <text>
        <t>Loan: Mercedes, Mercedes. Source: Meiborg_Debt_Schedule_202512.xlsx</t>
      </text>
    </comment>
    <comment ref="D28" authorId="0" shapeId="0">
      <text>
        <t>Loan: Mercedes, Mercedes. Interest = MAX(0, Opening * Rate/12)</t>
      </text>
    </comment>
    <comment ref="E28" authorId="0" shapeId="0">
      <text>
        <t>Loan: Mercedes, Mercedes. Principal = MAX(0, MIN(Opening, Payment - Interest))</t>
      </text>
    </comment>
    <comment ref="F28" authorId="0" shapeId="0">
      <text>
        <t>Loan: Mercedes, Mercedes. Closing = MAX(0, Opening - Principal)</t>
      </text>
    </comment>
    <comment ref="C29" authorId="0" shapeId="0">
      <text>
        <t>Loan: Mercedes, Mercedes. Source: Meiborg_Debt_Schedule_202512.xlsx</t>
      </text>
    </comment>
    <comment ref="D29" authorId="0" shapeId="0">
      <text>
        <t>Loan: Mercedes, Mercedes. Interest = MAX(0, Opening * Rate/12)</t>
      </text>
    </comment>
    <comment ref="E29" authorId="0" shapeId="0">
      <text>
        <t>Loan: Mercedes, Mercedes. Principal = MAX(0, MIN(Opening, Payment - Interest))</t>
      </text>
    </comment>
    <comment ref="F29" authorId="0" shapeId="0">
      <text>
        <t>Loan: Mercedes, Mercedes. Closing = MAX(0, Opening - Principal)</t>
      </text>
    </comment>
    <comment ref="C30" authorId="0" shapeId="0">
      <text>
        <t>Loan: Mercedes, Mercedes. Source: Meiborg_Debt_Schedule_202512.xlsx</t>
      </text>
    </comment>
    <comment ref="D30" authorId="0" shapeId="0">
      <text>
        <t>Loan: Mercedes, Mercedes. Interest = MAX(0, Opening * Rate/12)</t>
      </text>
    </comment>
    <comment ref="E30" authorId="0" shapeId="0">
      <text>
        <t>Loan: Mercedes, Mercedes. Principal = MAX(0, MIN(Opening, Payment - Interest))</t>
      </text>
    </comment>
    <comment ref="F30" authorId="0" shapeId="0">
      <text>
        <t>Loan: Mercedes, Mercedes. Closing = MAX(0, Opening - Principal)</t>
      </text>
    </comment>
    <comment ref="C31" authorId="0" shapeId="0">
      <text>
        <t>Loan: Mercedes, Mercedes. Source: Meiborg_Debt_Schedule_202512.xlsx</t>
      </text>
    </comment>
    <comment ref="D31" authorId="0" shapeId="0">
      <text>
        <t>Loan: Mercedes, Mercedes. Interest = MAX(0, Opening * Rate/12)</t>
      </text>
    </comment>
    <comment ref="E31" authorId="0" shapeId="0">
      <text>
        <t>Loan: Mercedes, Mercedes. Principal = MAX(0, MIN(Opening, Payment - Interest))</t>
      </text>
    </comment>
    <comment ref="F31" authorId="0" shapeId="0">
      <text>
        <t>Loan: Mercedes, Mercedes. Closing = MAX(0, Opening - Principal)</t>
      </text>
    </comment>
    <comment ref="C32" authorId="0" shapeId="0">
      <text>
        <t>Loan: Mercedes, Mercedes. Source: Meiborg_Debt_Schedule_202512.xlsx</t>
      </text>
    </comment>
    <comment ref="D32" authorId="0" shapeId="0">
      <text>
        <t>Loan: Mercedes, Mercedes. Interest = MAX(0, Opening * Rate/12)</t>
      </text>
    </comment>
    <comment ref="E32" authorId="0" shapeId="0">
      <text>
        <t>Loan: Mercedes, Mercedes. Principal = MAX(0, MIN(Opening, Payment - Interest))</t>
      </text>
    </comment>
    <comment ref="F32" authorId="0" shapeId="0">
      <text>
        <t>Loan: Mercedes, Mercedes. Closing = MAX(0, Opening - Principal)</t>
      </text>
    </comment>
    <comment ref="C33" authorId="0" shapeId="0">
      <text>
        <t>Loan: Mercedes, Mercedes. Source: Meiborg_Debt_Schedule_202512.xlsx</t>
      </text>
    </comment>
    <comment ref="D33" authorId="0" shapeId="0">
      <text>
        <t>Loan: Mercedes, Mercedes. Interest = MAX(0, Opening * Rate/12)</t>
      </text>
    </comment>
    <comment ref="E33" authorId="0" shapeId="0">
      <text>
        <t>Loan: Mercedes, Mercedes. Principal = MAX(0, MIN(Opening, Payment - Interest))</t>
      </text>
    </comment>
    <comment ref="F33" authorId="0" shapeId="0">
      <text>
        <t>Loan: Mercedes, Mercedes. Closing = MAX(0, Opening - Principal)</t>
      </text>
    </comment>
    <comment ref="C34" authorId="0" shapeId="0">
      <text>
        <t>Loan: Mercedes, Mercedes. Source: Meiborg_Debt_Schedule_202512.xlsx</t>
      </text>
    </comment>
    <comment ref="D34" authorId="0" shapeId="0">
      <text>
        <t>Loan: Mercedes, Mercedes. Interest = MAX(0, Opening * Rate/12)</t>
      </text>
    </comment>
    <comment ref="E34" authorId="0" shapeId="0">
      <text>
        <t>Loan: Mercedes, Mercedes. Principal = MAX(0, MIN(Opening, Payment - Interest))</t>
      </text>
    </comment>
    <comment ref="F34" authorId="0" shapeId="0">
      <text>
        <t>Loan: Mercedes, Mercedes. Closing = MAX(0, Opening - Principal)</t>
      </text>
    </comment>
    <comment ref="C35" authorId="0" shapeId="0">
      <text>
        <t>Loan: Mercedes, Mercedes. Source: Meiborg_Debt_Schedule_202512.xlsx</t>
      </text>
    </comment>
    <comment ref="D35" authorId="0" shapeId="0">
      <text>
        <t>Loan: Mercedes, Mercedes. Interest = MAX(0, Opening * Rate/12)</t>
      </text>
    </comment>
    <comment ref="E35" authorId="0" shapeId="0">
      <text>
        <t>Loan: Mercedes, Mercedes. Principal = MAX(0, MIN(Opening, Payment - Interest))</t>
      </text>
    </comment>
    <comment ref="F35" authorId="0" shapeId="0">
      <text>
        <t>Loan: Mercedes, Mercedes. Closing = MAX(0, Opening - Principal)</t>
      </text>
    </comment>
    <comment ref="C36" authorId="0" shapeId="0">
      <text>
        <t>Loan: Mercedes, Mercedes. Source: Meiborg_Debt_Schedule_202512.xlsx</t>
      </text>
    </comment>
    <comment ref="D36" authorId="0" shapeId="0">
      <text>
        <t>Loan: Mercedes, Mercedes. Interest = MAX(0, Opening * Rate/12)</t>
      </text>
    </comment>
    <comment ref="E36" authorId="0" shapeId="0">
      <text>
        <t>Loan: Mercedes, Mercedes. Principal = MAX(0, MIN(Opening, Payment - Interest))</t>
      </text>
    </comment>
    <comment ref="F36" authorId="0" shapeId="0">
      <text>
        <t>Loan: Mercedes, Mercedes. Closing = MAX(0, Opening - Principal)</t>
      </text>
    </comment>
    <comment ref="C37" authorId="0" shapeId="0">
      <text>
        <t>Loan: Mercedes, Mercedes. Source: Meiborg_Debt_Schedule_202512.xlsx</t>
      </text>
    </comment>
    <comment ref="D37" authorId="0" shapeId="0">
      <text>
        <t>Loan: Mercedes, Mercedes. Interest = MAX(0, Opening * Rate/12)</t>
      </text>
    </comment>
    <comment ref="E37" authorId="0" shapeId="0">
      <text>
        <t>Loan: Mercedes, Mercedes. Principal = MAX(0, MIN(Opening, Payment - Interest))</t>
      </text>
    </comment>
    <comment ref="F37" authorId="0" shapeId="0">
      <text>
        <t>Loan: Mercedes, Mercedes. Closing = MAX(0, Opening - Principal)</t>
      </text>
    </comment>
    <comment ref="C38" authorId="0" shapeId="0">
      <text>
        <t>Loan: Mercedes, Mercedes. Source: Meiborg_Debt_Schedule_202512.xlsx</t>
      </text>
    </comment>
    <comment ref="D38" authorId="0" shapeId="0">
      <text>
        <t>Loan: Mercedes, Mercedes. Interest = MAX(0, Opening * Rate/12)</t>
      </text>
    </comment>
    <comment ref="E38" authorId="0" shapeId="0">
      <text>
        <t>Loan: Mercedes, Mercedes. Principal = MAX(0, MIN(Opening, Payment - Interest))</t>
      </text>
    </comment>
    <comment ref="F38" authorId="0" shapeId="0">
      <text>
        <t>Loan: Mercedes, Mercedes. Closing = MAX(0, Opening - Principal)</t>
      </text>
    </comment>
    <comment ref="C39" authorId="0" shapeId="0">
      <text>
        <t>Loan: Mercedes, Mercedes. Source: Meiborg_Debt_Schedule_202512.xlsx</t>
      </text>
    </comment>
    <comment ref="D39" authorId="0" shapeId="0">
      <text>
        <t>Loan: Mercedes, Mercedes. Interest = MAX(0, Opening * Rate/12)</t>
      </text>
    </comment>
    <comment ref="E39" authorId="0" shapeId="0">
      <text>
        <t>Loan: Mercedes, Mercedes. Principal = MAX(0, MIN(Opening, Payment - Interest))</t>
      </text>
    </comment>
    <comment ref="F39" authorId="0" shapeId="0">
      <text>
        <t>Loan: Mercedes, Mercedes. Closing = MAX(0, Opening - Principal)</t>
      </text>
    </comment>
    <comment ref="C40" authorId="0" shapeId="0">
      <text>
        <t>Loan: Mercedes, Mercedes. Source: Meiborg_Debt_Schedule_202512.xlsx</t>
      </text>
    </comment>
    <comment ref="D40" authorId="0" shapeId="0">
      <text>
        <t>Loan: Mercedes, Mercedes. Interest = MAX(0, Opening * Rate/12)</t>
      </text>
    </comment>
    <comment ref="E40" authorId="0" shapeId="0">
      <text>
        <t>Loan: Mercedes, Mercedes. Principal = MAX(0, MIN(Opening, Payment - Interest))</t>
      </text>
    </comment>
    <comment ref="F40" authorId="0" shapeId="0">
      <text>
        <t>Loan: Mercedes, Mercedes. Closing = MAX(0, Opening - Principal)</t>
      </text>
    </comment>
    <comment ref="C41" authorId="0" shapeId="0">
      <text>
        <t>Loan: Mercedes, Mercedes. Source: Meiborg_Debt_Schedule_202512.xlsx</t>
      </text>
    </comment>
    <comment ref="D41" authorId="0" shapeId="0">
      <text>
        <t>Loan: Mercedes, Mercedes. Interest = MAX(0, Opening * Rate/12)</t>
      </text>
    </comment>
    <comment ref="E41" authorId="0" shapeId="0">
      <text>
        <t>Loan: Mercedes, Mercedes. Principal = MAX(0, MIN(Opening, Payment - Interest))</t>
      </text>
    </comment>
    <comment ref="F41" authorId="0" shapeId="0">
      <text>
        <t>Loan: Mercedes, Mercedes. Closing = MAX(0, Opening - Principal)</t>
      </text>
    </comment>
    <comment ref="C42" authorId="0" shapeId="0">
      <text>
        <t>Loan: Mercedes, Mercedes. Source: Meiborg_Debt_Schedule_202512.xlsx</t>
      </text>
    </comment>
    <comment ref="D42" authorId="0" shapeId="0">
      <text>
        <t>Loan: Mercedes, Mercedes. Interest = MAX(0, Opening * Rate/12)</t>
      </text>
    </comment>
    <comment ref="E42" authorId="0" shapeId="0">
      <text>
        <t>Loan: Mercedes, Mercedes. Principal = MAX(0, MIN(Opening, Payment - Interest))</t>
      </text>
    </comment>
    <comment ref="F42" authorId="0" shapeId="0">
      <text>
        <t>Loan: Mercedes, Mercedes. Closing = MAX(0, Opening - Principal)</t>
      </text>
    </comment>
    <comment ref="C43" authorId="0" shapeId="0">
      <text>
        <t>Loan: Mercedes, Mercedes. Source: Meiborg_Debt_Schedule_202512.xlsx</t>
      </text>
    </comment>
    <comment ref="D43" authorId="0" shapeId="0">
      <text>
        <t>Loan: Mercedes, Mercedes. Interest = MAX(0, Opening * Rate/12)</t>
      </text>
    </comment>
    <comment ref="E43" authorId="0" shapeId="0">
      <text>
        <t>Loan: Mercedes, Mercedes. Principal = MAX(0, MIN(Opening, Payment - Interest))</t>
      </text>
    </comment>
    <comment ref="F43" authorId="0" shapeId="0">
      <text>
        <t>Loan: Mercedes, Mercedes. Closing = MAX(0, Opening - Principal)</t>
      </text>
    </comment>
    <comment ref="C44" authorId="0" shapeId="0">
      <text>
        <t>Loan: Mercedes, Mercedes. Source: Meiborg_Debt_Schedule_202512.xlsx</t>
      </text>
    </comment>
    <comment ref="D44" authorId="0" shapeId="0">
      <text>
        <t>Loan: Mercedes, Mercedes. Interest = MAX(0, Opening * Rate/12)</t>
      </text>
    </comment>
    <comment ref="E44" authorId="0" shapeId="0">
      <text>
        <t>Loan: Mercedes, Mercedes. Principal = MAX(0, MIN(Opening, Payment - Interest))</t>
      </text>
    </comment>
    <comment ref="F44" authorId="0" shapeId="0">
      <text>
        <t>Loan: Mercedes, Mercedes. Closing = MAX(0, Opening - Principal)</t>
      </text>
    </comment>
    <comment ref="C45" authorId="0" shapeId="0">
      <text>
        <t>Loan: Mercedes, Mercedes. Source: Meiborg_Debt_Schedule_202512.xlsx</t>
      </text>
    </comment>
    <comment ref="D45" authorId="0" shapeId="0">
      <text>
        <t>Loan: Mercedes, Mercedes. Interest = MAX(0, Opening * Rate/12)</t>
      </text>
    </comment>
    <comment ref="E45" authorId="0" shapeId="0">
      <text>
        <t>Loan: Mercedes, Mercedes. Principal = MAX(0, MIN(Opening, Payment - Interest))</t>
      </text>
    </comment>
    <comment ref="F45" authorId="0" shapeId="0">
      <text>
        <t>Loan: Mercedes, Mercedes. Closing = MAX(0, Opening - Principal)</t>
      </text>
    </comment>
    <comment ref="C46" authorId="0" shapeId="0">
      <text>
        <t>Loan: Mercedes, Mercedes. Source: Meiborg_Debt_Schedule_202512.xlsx</t>
      </text>
    </comment>
    <comment ref="D46" authorId="0" shapeId="0">
      <text>
        <t>Loan: Mercedes, Mercedes. Interest = MAX(0, Opening * Rate/12)</t>
      </text>
    </comment>
    <comment ref="E46" authorId="0" shapeId="0">
      <text>
        <t>Loan: Mercedes, Mercedes. Principal = MAX(0, MIN(Opening, Payment - Interest))</t>
      </text>
    </comment>
    <comment ref="F46" authorId="0" shapeId="0">
      <text>
        <t>Loan: Mercedes, Mercedes. Closing = MAX(0, Opening - Principal)</t>
      </text>
    </comment>
    <comment ref="C47" authorId="0" shapeId="0">
      <text>
        <t>Loan: Mercedes, Mercedes. Source: Meiborg_Debt_Schedule_202512.xlsx</t>
      </text>
    </comment>
    <comment ref="D47" authorId="0" shapeId="0">
      <text>
        <t>Loan: Mercedes, Mercedes. Interest = MAX(0, Opening * Rate/12)</t>
      </text>
    </comment>
    <comment ref="E47" authorId="0" shapeId="0">
      <text>
        <t>Loan: Mercedes, Mercedes. Principal = MAX(0, MIN(Opening, Payment - Interest))</t>
      </text>
    </comment>
    <comment ref="F47" authorId="0" shapeId="0">
      <text>
        <t>Loan: Mercedes, Mercedes. Closing = MAX(0, Opening - Principal)</t>
      </text>
    </comment>
    <comment ref="C48" authorId="0" shapeId="0">
      <text>
        <t>Loan: Mercedes, Mercedes. Source: Meiborg_Debt_Schedule_202512.xlsx</t>
      </text>
    </comment>
    <comment ref="D48" authorId="0" shapeId="0">
      <text>
        <t>Loan: Mercedes, Mercedes. Interest = MAX(0, Opening * Rate/12)</t>
      </text>
    </comment>
    <comment ref="E48" authorId="0" shapeId="0">
      <text>
        <t>Loan: Mercedes, Mercedes. Principal = MAX(0, MIN(Opening, Payment - Interest))</t>
      </text>
    </comment>
    <comment ref="F48" authorId="0" shapeId="0">
      <text>
        <t>Loan: Mercedes, Mercedes. Closing = MAX(0, Opening - Principal)</t>
      </text>
    </comment>
    <comment ref="C49" authorId="0" shapeId="0">
      <text>
        <t>Loan: Mercedes, Mercedes. Source: Meiborg_Debt_Schedule_202512.xlsx</t>
      </text>
    </comment>
    <comment ref="D49" authorId="0" shapeId="0">
      <text>
        <t>Loan: Mercedes, Mercedes. Interest = MAX(0, Opening * Rate/12)</t>
      </text>
    </comment>
    <comment ref="E49" authorId="0" shapeId="0">
      <text>
        <t>Loan: Mercedes, Mercedes. Principal = MAX(0, MIN(Opening, Payment - Interest))</t>
      </text>
    </comment>
    <comment ref="F49" authorId="0" shapeId="0">
      <text>
        <t>Loan: Mercedes, Mercedes. Closing = MAX(0, Opening - Principal)</t>
      </text>
    </comment>
    <comment ref="C50" authorId="0" shapeId="0">
      <text>
        <t>Loan: Mercedes, Mercedes. Source: Meiborg_Debt_Schedule_202512.xlsx</t>
      </text>
    </comment>
    <comment ref="D50" authorId="0" shapeId="0">
      <text>
        <t>Loan: Mercedes, Mercedes. Interest = MAX(0, Opening * Rate/12)</t>
      </text>
    </comment>
    <comment ref="E50" authorId="0" shapeId="0">
      <text>
        <t>Loan: Mercedes, Mercedes. Principal = MAX(0, MIN(Opening, Payment - Interest))</t>
      </text>
    </comment>
    <comment ref="F50" authorId="0" shapeId="0">
      <text>
        <t>Loan: Mercedes, Mercedes. Closing = MAX(0, Opening - Principal)</t>
      </text>
    </comment>
    <comment ref="C51" authorId="0" shapeId="0">
      <text>
        <t>Loan: Mercedes, Mercedes. Source: Meiborg_Debt_Schedule_202512.xlsx</t>
      </text>
    </comment>
    <comment ref="D51" authorId="0" shapeId="0">
      <text>
        <t>Loan: Mercedes, Mercedes. Interest = MAX(0, Opening * Rate/12)</t>
      </text>
    </comment>
    <comment ref="E51" authorId="0" shapeId="0">
      <text>
        <t>Loan: Mercedes, Mercedes. Principal = MAX(0, MIN(Opening, Payment - Interest))</t>
      </text>
    </comment>
    <comment ref="F51" authorId="0" shapeId="0">
      <text>
        <t>Loan: Mercedes, Mercedes. Closing = MAX(0, Opening - Principal)</t>
      </text>
    </comment>
    <comment ref="C52" authorId="0" shapeId="0">
      <text>
        <t>Loan: Mercedes, Mercedes. Source: Meiborg_Debt_Schedule_202512.xlsx</t>
      </text>
    </comment>
    <comment ref="D52" authorId="0" shapeId="0">
      <text>
        <t>Loan: Mercedes, Mercedes. Interest = MAX(0, Opening * Rate/12)</t>
      </text>
    </comment>
    <comment ref="E52" authorId="0" shapeId="0">
      <text>
        <t>Loan: Mercedes, Mercedes. Principal = MAX(0, MIN(Opening, Payment - Interest))</t>
      </text>
    </comment>
    <comment ref="F52" authorId="0" shapeId="0">
      <text>
        <t>Loan: Mercedes, Mercedes. Closing = MAX(0, Opening - Principal)</t>
      </text>
    </comment>
    <comment ref="C53" authorId="0" shapeId="0">
      <text>
        <t>Loan: Mercedes, Mercedes. Source: Meiborg_Debt_Schedule_202512.xlsx</t>
      </text>
    </comment>
    <comment ref="D53" authorId="0" shapeId="0">
      <text>
        <t>Loan: Mercedes, Mercedes. Interest = MAX(0, Opening * Rate/12)</t>
      </text>
    </comment>
    <comment ref="E53" authorId="0" shapeId="0">
      <text>
        <t>Loan: Mercedes, Mercedes. Principal = MAX(0, MIN(Opening, Payment - Interest))</t>
      </text>
    </comment>
    <comment ref="F53" authorId="0" shapeId="0">
      <text>
        <t>Loan: Mercedes, Mercedes. Closing = MAX(0, Opening - Principal)</t>
      </text>
    </comment>
    <comment ref="C54" authorId="0" shapeId="0">
      <text>
        <t>Loan: Mercedes, Mercedes. Source: Meiborg_Debt_Schedule_202512.xlsx</t>
      </text>
    </comment>
    <comment ref="D54" authorId="0" shapeId="0">
      <text>
        <t>Loan: Mercedes, Mercedes. Interest = MAX(0, Opening * Rate/12)</t>
      </text>
    </comment>
    <comment ref="E54" authorId="0" shapeId="0">
      <text>
        <t>Loan: Mercedes, Mercedes. Principal = MAX(0, MIN(Opening, Payment - Interest))</t>
      </text>
    </comment>
    <comment ref="F54" authorId="0" shapeId="0">
      <text>
        <t>Loan: Mercedes, Mercedes. Closing = MAX(0, Opening - Principal)</t>
      </text>
    </comment>
    <comment ref="C55" authorId="0" shapeId="0">
      <text>
        <t>Loan: Mercedes, Mercedes. Source: Meiborg_Debt_Schedule_202512.xlsx</t>
      </text>
    </comment>
    <comment ref="D55" authorId="0" shapeId="0">
      <text>
        <t>Loan: Mercedes, Mercedes. Interest = MAX(0, Opening * Rate/12)</t>
      </text>
    </comment>
    <comment ref="E55" authorId="0" shapeId="0">
      <text>
        <t>Loan: Mercedes, Mercedes. Principal = MAX(0, MIN(Opening, Payment - Interest))</t>
      </text>
    </comment>
    <comment ref="F55" authorId="0" shapeId="0">
      <text>
        <t>Loan: Mercedes, Mercedes. Closing = MAX(0, Opening - Principal)</t>
      </text>
    </comment>
    <comment ref="C56" authorId="0" shapeId="0">
      <text>
        <t>Loan: Mercedes, Mercedes. Source: Meiborg_Debt_Schedule_202512.xlsx</t>
      </text>
    </comment>
    <comment ref="D56" authorId="0" shapeId="0">
      <text>
        <t>Loan: Mercedes, Mercedes. Interest = MAX(0, Opening * Rate/12)</t>
      </text>
    </comment>
    <comment ref="E56" authorId="0" shapeId="0">
      <text>
        <t>Loan: Mercedes, Mercedes. Principal = MAX(0, MIN(Opening, Payment - Interest))</t>
      </text>
    </comment>
    <comment ref="F56" authorId="0" shapeId="0">
      <text>
        <t>Loan: Mercedes, Mercedes. Closing = MAX(0, Opening - Principal)</t>
      </text>
    </comment>
    <comment ref="C57" authorId="0" shapeId="0">
      <text>
        <t>Loan: Mercedes, Mercedes. Source: Meiborg_Debt_Schedule_202512.xlsx</t>
      </text>
    </comment>
    <comment ref="D57" authorId="0" shapeId="0">
      <text>
        <t>Loan: Mercedes, Mercedes. Interest = MAX(0, Opening * Rate/12)</t>
      </text>
    </comment>
    <comment ref="E57" authorId="0" shapeId="0">
      <text>
        <t>Loan: Mercedes, Mercedes. Principal = MAX(0, MIN(Opening, Payment - Interest))</t>
      </text>
    </comment>
    <comment ref="F57" authorId="0" shapeId="0">
      <text>
        <t>Loan: Mercedes, Mercedes. Closing = MAX(0, Opening - Principal)</t>
      </text>
    </comment>
    <comment ref="C58" authorId="0" shapeId="0">
      <text>
        <t>Loan: Mercedes, Mercedes. Source: Meiborg_Debt_Schedule_202512.xlsx</t>
      </text>
    </comment>
    <comment ref="D58" authorId="0" shapeId="0">
      <text>
        <t>Loan: Mercedes, Mercedes. Interest = MAX(0, Opening * Rate/12)</t>
      </text>
    </comment>
    <comment ref="E58" authorId="0" shapeId="0">
      <text>
        <t>Loan: Mercedes, Mercedes. Principal = MAX(0, MIN(Opening, Payment - Interest))</t>
      </text>
    </comment>
    <comment ref="F58" authorId="0" shapeId="0">
      <text>
        <t>Loan: Mercedes, Mercedes. Closing = MAX(0, Opening - Principal)</t>
      </text>
    </comment>
    <comment ref="C59" authorId="0" shapeId="0">
      <text>
        <t>Loan: Mercedes, Mercedes. Source: Meiborg_Debt_Schedule_202512.xlsx</t>
      </text>
    </comment>
    <comment ref="D59" authorId="0" shapeId="0">
      <text>
        <t>Loan: Mercedes, Mercedes. Interest = MAX(0, Opening * Rate/12)</t>
      </text>
    </comment>
    <comment ref="E59" authorId="0" shapeId="0">
      <text>
        <t>Loan: Mercedes, Mercedes. Principal = MAX(0, MIN(Opening, Payment - Interest))</t>
      </text>
    </comment>
    <comment ref="F59" authorId="0" shapeId="0">
      <text>
        <t>Loan: Mercedes, Mercedes. Closing = MAX(0, Opening - Principal)</t>
      </text>
    </comment>
    <comment ref="C60" authorId="0" shapeId="0">
      <text>
        <t>Loan: Mercedes, Mercedes. Source: Meiborg_Debt_Schedule_202512.xlsx</t>
      </text>
    </comment>
    <comment ref="D60" authorId="0" shapeId="0">
      <text>
        <t>Loan: Mercedes, Mercedes. Interest = MAX(0, Opening * Rate/12)</t>
      </text>
    </comment>
    <comment ref="E60" authorId="0" shapeId="0">
      <text>
        <t>Loan: Mercedes, Mercedes. Principal = MAX(0, MIN(Opening, Payment - Interest))</t>
      </text>
    </comment>
    <comment ref="F60" authorId="0" shapeId="0">
      <text>
        <t>Loan: Mercedes, Mercedes. Closing = MAX(0, Opening - Principal)</t>
      </text>
    </comment>
    <comment ref="C61" authorId="0" shapeId="0">
      <text>
        <t>Loan: Mercedes, Mercedes. Source: Meiborg_Debt_Schedule_202512.xlsx</t>
      </text>
    </comment>
    <comment ref="D61" authorId="0" shapeId="0">
      <text>
        <t>Loan: Mercedes, Mercedes. Interest = MAX(0, Opening * Rate/12)</t>
      </text>
    </comment>
    <comment ref="E61" authorId="0" shapeId="0">
      <text>
        <t>Loan: Mercedes, Mercedes. Principal = MAX(0, MIN(Opening, Payment - Interest))</t>
      </text>
    </comment>
    <comment ref="F61" authorId="0" shapeId="0">
      <text>
        <t>Loan: Mercedes, Mercedes. Closing = MAX(0, Opening - Principal)</t>
      </text>
    </comment>
    <comment ref="C62" authorId="0" shapeId="0">
      <text>
        <t>Loan: Mercedes, Mercedes. Source: Meiborg_Debt_Schedule_202512.xlsx</t>
      </text>
    </comment>
    <comment ref="D62" authorId="0" shapeId="0">
      <text>
        <t>Loan: Mercedes, Mercedes. Interest = MAX(0, Opening * Rate/12)</t>
      </text>
    </comment>
    <comment ref="E62" authorId="0" shapeId="0">
      <text>
        <t>Loan: Mercedes, Mercedes. Principal = MAX(0, MIN(Opening, Payment - Interest))</t>
      </text>
    </comment>
    <comment ref="F62" authorId="0" shapeId="0">
      <text>
        <t>Loan: Mercedes, Mercedes. Closing = MAX(0, Opening - Principal)</t>
      </text>
    </comment>
    <comment ref="C63" authorId="0" shapeId="0">
      <text>
        <t>Loan: Mercedes, Mercedes. Source: Meiborg_Debt_Schedule_202512.xlsx</t>
      </text>
    </comment>
    <comment ref="D63" authorId="0" shapeId="0">
      <text>
        <t>Loan: Mercedes, Mercedes. Interest = MAX(0, Opening * Rate/12)</t>
      </text>
    </comment>
    <comment ref="E63" authorId="0" shapeId="0">
      <text>
        <t>Loan: Mercedes, Mercedes. Principal = MAX(0, MIN(Opening, Payment - Interest))</t>
      </text>
    </comment>
    <comment ref="F63" authorId="0" shapeId="0">
      <text>
        <t>Loan: Mercedes, Mercedes. Closing = MAX(0, Opening - Principal)</t>
      </text>
    </comment>
    <comment ref="C64" authorId="0" shapeId="0">
      <text>
        <t>Loan: Mercedes, Mercedes. Source: Meiborg_Debt_Schedule_202512.xlsx</t>
      </text>
    </comment>
    <comment ref="D64" authorId="0" shapeId="0">
      <text>
        <t>Loan: Mercedes, Mercedes. Interest = MAX(0, Opening * Rate/12)</t>
      </text>
    </comment>
    <comment ref="E64" authorId="0" shapeId="0">
      <text>
        <t>Loan: Mercedes, Mercedes. Principal = MAX(0, MIN(Opening, Payment - Interest))</t>
      </text>
    </comment>
    <comment ref="F64" authorId="0" shapeId="0">
      <text>
        <t>Loan: Mercedes, Mercedes. Closing = MAX(0, Opening - Principal)</t>
      </text>
    </comment>
    <comment ref="C65" authorId="0" shapeId="0">
      <text>
        <t>Loan: Mercedes, Mercedes. Source: Meiborg_Debt_Schedule_202512.xlsx</t>
      </text>
    </comment>
    <comment ref="D65" authorId="0" shapeId="0">
      <text>
        <t>Loan: Mercedes, Mercedes. Interest = MAX(0, Opening * Rate/12)</t>
      </text>
    </comment>
    <comment ref="E65" authorId="0" shapeId="0">
      <text>
        <t>Loan: Mercedes, Mercedes. Principal = MAX(0, MIN(Opening, Payment - Interest))</t>
      </text>
    </comment>
    <comment ref="F65" authorId="0" shapeId="0">
      <text>
        <t>Loan: Mercedes, Mercedes. Closing = MAX(0, Opening - Principal)</t>
      </text>
    </comment>
    <comment ref="C66" authorId="0" shapeId="0">
      <text>
        <t>Loan: Mercedes, Mercedes. Source: Meiborg_Debt_Schedule_202512.xlsx</t>
      </text>
    </comment>
    <comment ref="D66" authorId="0" shapeId="0">
      <text>
        <t>Loan: Mercedes, Mercedes. Interest = MAX(0, Opening * Rate/12)</t>
      </text>
    </comment>
    <comment ref="E66" authorId="0" shapeId="0">
      <text>
        <t>Loan: Mercedes, Mercedes. Principal = MAX(0, MIN(Opening, Payment - Interest))</t>
      </text>
    </comment>
    <comment ref="F66" authorId="0" shapeId="0">
      <text>
        <t>Loan: Mercedes, Mercedes. Closing = MAX(0, Opening - Principal)</t>
      </text>
    </comment>
    <comment ref="C67" authorId="0" shapeId="0">
      <text>
        <t>Loan: Mercedes, Mercedes. Source: Meiborg_Debt_Schedule_202512.xlsx</t>
      </text>
    </comment>
    <comment ref="D67" authorId="0" shapeId="0">
      <text>
        <t>Loan: Mercedes, Mercedes. Interest = MAX(0, Opening * Rate/12)</t>
      </text>
    </comment>
    <comment ref="E67" authorId="0" shapeId="0">
      <text>
        <t>Loan: Mercedes, Mercedes. Principal = MAX(0, MIN(Opening, Payment - Interest))</t>
      </text>
    </comment>
    <comment ref="F67" authorId="0" shapeId="0">
      <text>
        <t>Loan: Mercedes, Mercedes. Closing = MAX(0, Opening - Principal)</t>
      </text>
    </comment>
    <comment ref="C68" authorId="0" shapeId="0">
      <text>
        <t>Loan: Mercedes, Mercedes. Source: Meiborg_Debt_Schedule_202512.xlsx</t>
      </text>
    </comment>
    <comment ref="D68" authorId="0" shapeId="0">
      <text>
        <t>Loan: Mercedes, Mercedes. Interest = MAX(0, Opening * Rate/12)</t>
      </text>
    </comment>
    <comment ref="E68" authorId="0" shapeId="0">
      <text>
        <t>Loan: Mercedes, Mercedes. Principal = MAX(0, MIN(Opening, Payment - Interest))</t>
      </text>
    </comment>
    <comment ref="F68" authorId="0" shapeId="0">
      <text>
        <t>Loan: Mercedes, Mercedes. Closing = MAX(0, Opening - Principal)</t>
      </text>
    </comment>
    <comment ref="C69" authorId="0" shapeId="0">
      <text>
        <t>Loan: Mercedes, Mercedes. Source: Meiborg_Debt_Schedule_202512.xlsx</t>
      </text>
    </comment>
    <comment ref="D69" authorId="0" shapeId="0">
      <text>
        <t>Loan: Mercedes, Mercedes. Interest = MAX(0, Opening * Rate/12)</t>
      </text>
    </comment>
    <comment ref="E69" authorId="0" shapeId="0">
      <text>
        <t>Loan: Mercedes, Mercedes. Principal = MAX(0, MIN(Opening, Payment - Interest))</t>
      </text>
    </comment>
    <comment ref="F69" authorId="0" shapeId="0">
      <text>
        <t>Loan: Mercedes, Mercedes. Closing = MAX(0, Opening - Principal)</t>
      </text>
    </comment>
    <comment ref="C70" authorId="0" shapeId="0">
      <text>
        <t>Loan: Mercedes, Mercedes. Source: Meiborg_Debt_Schedule_202512.xlsx</t>
      </text>
    </comment>
    <comment ref="D70" authorId="0" shapeId="0">
      <text>
        <t>Loan: Mercedes, Mercedes. Interest = MAX(0, Opening * Rate/12)</t>
      </text>
    </comment>
    <comment ref="E70" authorId="0" shapeId="0">
      <text>
        <t>Loan: Mercedes, Mercedes. Principal = MAX(0, MIN(Opening, Payment - Interest))</t>
      </text>
    </comment>
    <comment ref="F70" authorId="0" shapeId="0">
      <text>
        <t>Loan: Mercedes, Mercedes. Closing = MAX(0, Opening - Principal)</t>
      </text>
    </comment>
    <comment ref="C71" authorId="0" shapeId="0">
      <text>
        <t>Loan: Mercedes, Mercedes. Source: Meiborg_Debt_Schedule_202512.xlsx</t>
      </text>
    </comment>
    <comment ref="D71" authorId="0" shapeId="0">
      <text>
        <t>Loan: Mercedes, Mercedes. Interest = MAX(0, Opening * Rate/12)</t>
      </text>
    </comment>
    <comment ref="E71" authorId="0" shapeId="0">
      <text>
        <t>Loan: Mercedes, Mercedes. Principal = MAX(0, MIN(Opening, Payment - Interest))</t>
      </text>
    </comment>
    <comment ref="F71" authorId="0" shapeId="0">
      <text>
        <t>Loan: Mercedes, Mercedes. Closing = MAX(0, Opening - Principal)</t>
      </text>
    </comment>
    <comment ref="C72" authorId="0" shapeId="0">
      <text>
        <t>Loan: Mercedes, Mercedes. Source: Meiborg_Debt_Schedule_202512.xlsx</t>
      </text>
    </comment>
    <comment ref="D72" authorId="0" shapeId="0">
      <text>
        <t>Loan: Mercedes, Mercedes. Interest = MAX(0, Opening * Rate/12)</t>
      </text>
    </comment>
    <comment ref="E72" authorId="0" shapeId="0">
      <text>
        <t>Loan: Mercedes, Mercedes. Principal = MAX(0, MIN(Opening, Payment - Interest))</t>
      </text>
    </comment>
    <comment ref="F72" authorId="0" shapeId="0">
      <text>
        <t>Loan: Mercedes, Mercedes. Closing = MAX(0, Opening - Principal)</t>
      </text>
    </comment>
    <comment ref="C73" authorId="0" shapeId="0">
      <text>
        <t>Loan: Mercedes, Mercedes. Source: Meiborg_Debt_Schedule_202512.xlsx</t>
      </text>
    </comment>
    <comment ref="D73" authorId="0" shapeId="0">
      <text>
        <t>Loan: Mercedes, Mercedes. Interest = MAX(0, Opening * Rate/12)</t>
      </text>
    </comment>
    <comment ref="E73" authorId="0" shapeId="0">
      <text>
        <t>Loan: Mercedes, Mercedes. Principal = MAX(0, MIN(Opening, Payment - Interest))</t>
      </text>
    </comment>
    <comment ref="F73" authorId="0" shapeId="0">
      <text>
        <t>Loan: Mercedes, Mercedes. Closing = MAX(0, Opening - Principal)</t>
      </text>
    </comment>
    <comment ref="C74" authorId="0" shapeId="0">
      <text>
        <t>Loan: Mercedes, Mercedes. Source: Meiborg_Debt_Schedule_202512.xlsx</t>
      </text>
    </comment>
    <comment ref="D74" authorId="0" shapeId="0">
      <text>
        <t>Loan: Mercedes, Mercedes. Interest = MAX(0, Opening * Rate/12)</t>
      </text>
    </comment>
    <comment ref="E74" authorId="0" shapeId="0">
      <text>
        <t>Loan: Mercedes, Mercedes. Principal = MAX(0, MIN(Opening, Payment - Interest))</t>
      </text>
    </comment>
    <comment ref="F74" authorId="0" shapeId="0">
      <text>
        <t>Loan: Mercedes, Mercedes. Closing = MAX(0, Opening - Principal)</t>
      </text>
    </comment>
    <comment ref="C75" authorId="0" shapeId="0">
      <text>
        <t>Loan: Mercedes, Mercedes. Source: Meiborg_Debt_Schedule_202512.xlsx</t>
      </text>
    </comment>
    <comment ref="D75" authorId="0" shapeId="0">
      <text>
        <t>Loan: Mercedes, Mercedes. Interest = MAX(0, Opening * Rate/12)</t>
      </text>
    </comment>
    <comment ref="E75" authorId="0" shapeId="0">
      <text>
        <t>Loan: Mercedes, Mercedes. Principal = MAX(0, MIN(Opening, Payment - Interest))</t>
      </text>
    </comment>
    <comment ref="F75" authorId="0" shapeId="0">
      <text>
        <t>Loan: Mercedes, Mercedes. Closing = MAX(0, Opening - Principal)</t>
      </text>
    </comment>
    <comment ref="C76" authorId="0" shapeId="0">
      <text>
        <t>Loan: Mercedes, Mercedes. Source: Meiborg_Debt_Schedule_202512.xlsx</t>
      </text>
    </comment>
    <comment ref="D76" authorId="0" shapeId="0">
      <text>
        <t>Loan: Mercedes, Mercedes. Interest = MAX(0, Opening * Rate/12)</t>
      </text>
    </comment>
    <comment ref="E76" authorId="0" shapeId="0">
      <text>
        <t>Loan: Mercedes, Mercedes. Principal = MAX(0, MIN(Opening, Payment - Interest))</t>
      </text>
    </comment>
    <comment ref="F76" authorId="0" shapeId="0">
      <text>
        <t>Loan: Mercedes, Mercedes. Closing = MAX(0, Opening - Principal)</t>
      </text>
    </comment>
    <comment ref="C80" authorId="0" shapeId="0">
      <text>
        <t>Sum of rows 18-29: Annual opening balance for 2026</t>
      </text>
    </comment>
    <comment ref="D80" authorId="0" shapeId="0">
      <text>
        <t>Sum of rows 18-29: Annual interest for 2026</t>
      </text>
    </comment>
    <comment ref="E80" authorId="0" shapeId="0">
      <text>
        <t>Sum of rows 18-29: Annual principal for 2026</t>
      </text>
    </comment>
    <comment ref="F80" authorId="0" shapeId="0">
      <text>
        <t>Sum of rows 18-29: Annual closing balance for 2026</t>
      </text>
    </comment>
    <comment ref="C81" authorId="0" shapeId="0">
      <text>
        <t>Sum of rows 30-41: Annual opening balance for 2027</t>
      </text>
    </comment>
    <comment ref="D81" authorId="0" shapeId="0">
      <text>
        <t>Sum of rows 30-41: Annual interest for 2027</t>
      </text>
    </comment>
    <comment ref="E81" authorId="0" shapeId="0">
      <text>
        <t>Sum of rows 30-41: Annual principal for 2027</t>
      </text>
    </comment>
    <comment ref="F81" authorId="0" shapeId="0">
      <text>
        <t>Sum of rows 30-41: Annual closing balance for 2027</t>
      </text>
    </comment>
    <comment ref="C82" authorId="0" shapeId="0">
      <text>
        <t>Sum of rows 42-53: Annual opening balance for 2028</t>
      </text>
    </comment>
    <comment ref="D82" authorId="0" shapeId="0">
      <text>
        <t>Sum of rows 42-53: Annual interest for 2028</t>
      </text>
    </comment>
    <comment ref="E82" authorId="0" shapeId="0">
      <text>
        <t>Sum of rows 42-53: Annual principal for 2028</t>
      </text>
    </comment>
    <comment ref="F82" authorId="0" shapeId="0">
      <text>
        <t>Sum of rows 42-53: Annual closing balance for 2028</t>
      </text>
    </comment>
  </commentList>
</comments>
</file>

<file path=xl/comments/comment84.xml><?xml version="1.0" encoding="utf-8"?>
<comments xmlns="http://schemas.openxmlformats.org/spreadsheetml/2006/main">
  <authors>
    <author>Model Builder</author>
  </authors>
  <commentList>
    <comment ref="B2" authorId="0" shapeId="0">
      <text>
        <t>Source: data/loans.md - GM Financial section
Extracted: 2025-12-31</t>
      </text>
    </comment>
    <comment ref="B6" authorId="0" shapeId="0">
      <text>
        <t>Source: data/loans.md - Balance as of 12/31/2025
Loan: GM Financial, 2020 GMC Sierra 3500HD. Source: Meiborg_Debt_Schedule_202512.xlsx</t>
      </text>
    </comment>
    <comment ref="B7" authorId="0" shapeId="0">
      <text>
        <t>Driver: Annual interest rate 8.90%. Source: Meiborg_Debt_Schedule_202512.xlsx</t>
      </text>
    </comment>
    <comment ref="C18" authorId="0" shapeId="0">
      <text>
        <t>Loan: GM Financial, 2020 GMC Sierra 3500HD. Source: Meiborg_Debt_Schedule_202512.xlsx</t>
      </text>
    </comment>
    <comment ref="D18" authorId="0" shapeId="0">
      <text>
        <t>Loan: GM Financial, 2020 GMC Sierra 3500HD. Interest = MAX(0, Opening * Rate/12)</t>
      </text>
    </comment>
    <comment ref="E18" authorId="0" shapeId="0">
      <text>
        <t>Loan: GM Financial, 2020 GMC Sierra 3500HD. Principal = MAX(0, MIN(Opening, Payment - Interest))</t>
      </text>
    </comment>
    <comment ref="F18" authorId="0" shapeId="0">
      <text>
        <t>Loan: GM Financial, 2020 GMC Sierra 3500HD. Closing = MAX(0, Opening - Principal)</t>
      </text>
    </comment>
    <comment ref="C19" authorId="0" shapeId="0">
      <text>
        <t>Loan: GM Financial, 2020 GMC Sierra 3500HD. Source: Meiborg_Debt_Schedule_202512.xlsx</t>
      </text>
    </comment>
    <comment ref="D19" authorId="0" shapeId="0">
      <text>
        <t>Loan: GM Financial, 2020 GMC Sierra 3500HD. Interest = MAX(0, Opening * Rate/12)</t>
      </text>
    </comment>
    <comment ref="E19" authorId="0" shapeId="0">
      <text>
        <t>Loan: GM Financial, 2020 GMC Sierra 3500HD. Principal = MAX(0, MIN(Opening, Payment - Interest))</t>
      </text>
    </comment>
    <comment ref="F19" authorId="0" shapeId="0">
      <text>
        <t>Loan: GM Financial, 2020 GMC Sierra 3500HD. Closing = MAX(0, Opening - Principal)</t>
      </text>
    </comment>
    <comment ref="C20" authorId="0" shapeId="0">
      <text>
        <t>Loan: GM Financial, 2020 GMC Sierra 3500HD. Source: Meiborg_Debt_Schedule_202512.xlsx</t>
      </text>
    </comment>
    <comment ref="D20" authorId="0" shapeId="0">
      <text>
        <t>Loan: GM Financial, 2020 GMC Sierra 3500HD. Interest = MAX(0, Opening * Rate/12)</t>
      </text>
    </comment>
    <comment ref="E20" authorId="0" shapeId="0">
      <text>
        <t>Loan: GM Financial, 2020 GMC Sierra 3500HD. Principal = MAX(0, MIN(Opening, Payment - Interest))</t>
      </text>
    </comment>
    <comment ref="F20" authorId="0" shapeId="0">
      <text>
        <t>Loan: GM Financial, 2020 GMC Sierra 3500HD. Closing = MAX(0, Opening - Principal)</t>
      </text>
    </comment>
    <comment ref="C21" authorId="0" shapeId="0">
      <text>
        <t>Loan: GM Financial, 2020 GMC Sierra 3500HD. Source: Meiborg_Debt_Schedule_202512.xlsx</t>
      </text>
    </comment>
    <comment ref="D21" authorId="0" shapeId="0">
      <text>
        <t>Loan: GM Financial, 2020 GMC Sierra 3500HD. Interest = MAX(0, Opening * Rate/12)</t>
      </text>
    </comment>
    <comment ref="E21" authorId="0" shapeId="0">
      <text>
        <t>Loan: GM Financial, 2020 GMC Sierra 3500HD. Principal = MAX(0, MIN(Opening, Payment - Interest))</t>
      </text>
    </comment>
    <comment ref="F21" authorId="0" shapeId="0">
      <text>
        <t>Loan: GM Financial, 2020 GMC Sierra 3500HD. Closing = MAX(0, Opening - Principal)</t>
      </text>
    </comment>
    <comment ref="C22" authorId="0" shapeId="0">
      <text>
        <t>Loan: GM Financial, 2020 GMC Sierra 3500HD. Source: Meiborg_Debt_Schedule_202512.xlsx</t>
      </text>
    </comment>
    <comment ref="D22" authorId="0" shapeId="0">
      <text>
        <t>Loan: GM Financial, 2020 GMC Sierra 3500HD. Interest = MAX(0, Opening * Rate/12)</t>
      </text>
    </comment>
    <comment ref="E22" authorId="0" shapeId="0">
      <text>
        <t>Loan: GM Financial, 2020 GMC Sierra 3500HD. Principal = MAX(0, MIN(Opening, Payment - Interest))</t>
      </text>
    </comment>
    <comment ref="F22" authorId="0" shapeId="0">
      <text>
        <t>Loan: GM Financial, 2020 GMC Sierra 3500HD. Closing = MAX(0, Opening - Principal)</t>
      </text>
    </comment>
    <comment ref="C23" authorId="0" shapeId="0">
      <text>
        <t>Loan: GM Financial, 2020 GMC Sierra 3500HD. Source: Meiborg_Debt_Schedule_202512.xlsx</t>
      </text>
    </comment>
    <comment ref="D23" authorId="0" shapeId="0">
      <text>
        <t>Loan: GM Financial, 2020 GMC Sierra 3500HD. Interest = MAX(0, Opening * Rate/12)</t>
      </text>
    </comment>
    <comment ref="E23" authorId="0" shapeId="0">
      <text>
        <t>Loan: GM Financial, 2020 GMC Sierra 3500HD. Principal = MAX(0, MIN(Opening, Payment - Interest))</t>
      </text>
    </comment>
    <comment ref="F23" authorId="0" shapeId="0">
      <text>
        <t>Loan: GM Financial, 2020 GMC Sierra 3500HD. Closing = MAX(0, Opening - Principal)</t>
      </text>
    </comment>
    <comment ref="C24" authorId="0" shapeId="0">
      <text>
        <t>Loan: GM Financial, 2020 GMC Sierra 3500HD. Source: Meiborg_Debt_Schedule_202512.xlsx</t>
      </text>
    </comment>
    <comment ref="D24" authorId="0" shapeId="0">
      <text>
        <t>Loan: GM Financial, 2020 GMC Sierra 3500HD. Interest = MAX(0, Opening * Rate/12)</t>
      </text>
    </comment>
    <comment ref="E24" authorId="0" shapeId="0">
      <text>
        <t>Loan: GM Financial, 2020 GMC Sierra 3500HD. Principal = MAX(0, MIN(Opening, Payment - Interest))</t>
      </text>
    </comment>
    <comment ref="F24" authorId="0" shapeId="0">
      <text>
        <t>Loan: GM Financial, 2020 GMC Sierra 3500HD. Closing = MAX(0, Opening - Principal)</t>
      </text>
    </comment>
    <comment ref="C25" authorId="0" shapeId="0">
      <text>
        <t>Loan: GM Financial, 2020 GMC Sierra 3500HD. Source: Meiborg_Debt_Schedule_202512.xlsx</t>
      </text>
    </comment>
    <comment ref="D25" authorId="0" shapeId="0">
      <text>
        <t>Loan: GM Financial, 2020 GMC Sierra 3500HD. Interest = MAX(0, Opening * Rate/12)</t>
      </text>
    </comment>
    <comment ref="E25" authorId="0" shapeId="0">
      <text>
        <t>Loan: GM Financial, 2020 GMC Sierra 3500HD. Principal = MAX(0, MIN(Opening, Payment - Interest))</t>
      </text>
    </comment>
    <comment ref="F25" authorId="0" shapeId="0">
      <text>
        <t>Loan: GM Financial, 2020 GMC Sierra 3500HD. Closing = MAX(0, Opening - Principal)</t>
      </text>
    </comment>
    <comment ref="C26" authorId="0" shapeId="0">
      <text>
        <t>Loan: GM Financial, 2020 GMC Sierra 3500HD. Source: Meiborg_Debt_Schedule_202512.xlsx</t>
      </text>
    </comment>
    <comment ref="D26" authorId="0" shapeId="0">
      <text>
        <t>Loan: GM Financial, 2020 GMC Sierra 3500HD. Interest = MAX(0, Opening * Rate/12)</t>
      </text>
    </comment>
    <comment ref="E26" authorId="0" shapeId="0">
      <text>
        <t>Loan: GM Financial, 2020 GMC Sierra 3500HD. Principal = MAX(0, MIN(Opening, Payment - Interest))</t>
      </text>
    </comment>
    <comment ref="F26" authorId="0" shapeId="0">
      <text>
        <t>Loan: GM Financial, 2020 GMC Sierra 3500HD. Closing = MAX(0, Opening - Principal)</t>
      </text>
    </comment>
    <comment ref="C27" authorId="0" shapeId="0">
      <text>
        <t>Loan: GM Financial, 2020 GMC Sierra 3500HD. Source: Meiborg_Debt_Schedule_202512.xlsx</t>
      </text>
    </comment>
    <comment ref="D27" authorId="0" shapeId="0">
      <text>
        <t>Loan: GM Financial, 2020 GMC Sierra 3500HD. Interest = MAX(0, Opening * Rate/12)</t>
      </text>
    </comment>
    <comment ref="E27" authorId="0" shapeId="0">
      <text>
        <t>Loan: GM Financial, 2020 GMC Sierra 3500HD. Principal = MAX(0, MIN(Opening, Payment - Interest))</t>
      </text>
    </comment>
    <comment ref="F27" authorId="0" shapeId="0">
      <text>
        <t>Loan: GM Financial, 2020 GMC Sierra 3500HD. Closing = MAX(0, Opening - Principal)</t>
      </text>
    </comment>
    <comment ref="C28" authorId="0" shapeId="0">
      <text>
        <t>Loan: GM Financial, 2020 GMC Sierra 3500HD. Source: Meiborg_Debt_Schedule_202512.xlsx</t>
      </text>
    </comment>
    <comment ref="D28" authorId="0" shapeId="0">
      <text>
        <t>Loan: GM Financial, 2020 GMC Sierra 3500HD. Interest = MAX(0, Opening * Rate/12)</t>
      </text>
    </comment>
    <comment ref="E28" authorId="0" shapeId="0">
      <text>
        <t>Loan: GM Financial, 2020 GMC Sierra 3500HD. Principal = MAX(0, MIN(Opening, Payment - Interest))</t>
      </text>
    </comment>
    <comment ref="F28" authorId="0" shapeId="0">
      <text>
        <t>Loan: GM Financial, 2020 GMC Sierra 3500HD. Closing = MAX(0, Opening - Principal)</t>
      </text>
    </comment>
    <comment ref="C29" authorId="0" shapeId="0">
      <text>
        <t>Loan: GM Financial, 2020 GMC Sierra 3500HD. Source: Meiborg_Debt_Schedule_202512.xlsx</t>
      </text>
    </comment>
    <comment ref="D29" authorId="0" shapeId="0">
      <text>
        <t>Loan: GM Financial, 2020 GMC Sierra 3500HD. Interest = MAX(0, Opening * Rate/12)</t>
      </text>
    </comment>
    <comment ref="E29" authorId="0" shapeId="0">
      <text>
        <t>Loan: GM Financial, 2020 GMC Sierra 3500HD. Principal = MAX(0, MIN(Opening, Payment - Interest))</t>
      </text>
    </comment>
    <comment ref="F29" authorId="0" shapeId="0">
      <text>
        <t>Loan: GM Financial, 2020 GMC Sierra 3500HD. Closing = MAX(0, Opening - Principal)</t>
      </text>
    </comment>
    <comment ref="C30" authorId="0" shapeId="0">
      <text>
        <t>Loan: GM Financial, 2020 GMC Sierra 3500HD. Source: Meiborg_Debt_Schedule_202512.xlsx</t>
      </text>
    </comment>
    <comment ref="D30" authorId="0" shapeId="0">
      <text>
        <t>Loan: GM Financial, 2020 GMC Sierra 3500HD. Interest = MAX(0, Opening * Rate/12)</t>
      </text>
    </comment>
    <comment ref="E30" authorId="0" shapeId="0">
      <text>
        <t>Loan: GM Financial, 2020 GMC Sierra 3500HD. Principal = MAX(0, MIN(Opening, Payment - Interest))</t>
      </text>
    </comment>
    <comment ref="F30" authorId="0" shapeId="0">
      <text>
        <t>Loan: GM Financial, 2020 GMC Sierra 3500HD. Closing = MAX(0, Opening - Principal)</t>
      </text>
    </comment>
    <comment ref="C31" authorId="0" shapeId="0">
      <text>
        <t>Loan: GM Financial, 2020 GMC Sierra 3500HD. Source: Meiborg_Debt_Schedule_202512.xlsx</t>
      </text>
    </comment>
    <comment ref="D31" authorId="0" shapeId="0">
      <text>
        <t>Loan: GM Financial, 2020 GMC Sierra 3500HD. Interest = MAX(0, Opening * Rate/12)</t>
      </text>
    </comment>
    <comment ref="E31" authorId="0" shapeId="0">
      <text>
        <t>Loan: GM Financial, 2020 GMC Sierra 3500HD. Principal = MAX(0, MIN(Opening, Payment - Interest))</t>
      </text>
    </comment>
    <comment ref="F31" authorId="0" shapeId="0">
      <text>
        <t>Loan: GM Financial, 2020 GMC Sierra 3500HD. Closing = MAX(0, Opening - Principal)</t>
      </text>
    </comment>
    <comment ref="C32" authorId="0" shapeId="0">
      <text>
        <t>Loan: GM Financial, 2020 GMC Sierra 3500HD. Source: Meiborg_Debt_Schedule_202512.xlsx</t>
      </text>
    </comment>
    <comment ref="D32" authorId="0" shapeId="0">
      <text>
        <t>Loan: GM Financial, 2020 GMC Sierra 3500HD. Interest = MAX(0, Opening * Rate/12)</t>
      </text>
    </comment>
    <comment ref="E32" authorId="0" shapeId="0">
      <text>
        <t>Loan: GM Financial, 2020 GMC Sierra 3500HD. Principal = MAX(0, MIN(Opening, Payment - Interest))</t>
      </text>
    </comment>
    <comment ref="F32" authorId="0" shapeId="0">
      <text>
        <t>Loan: GM Financial, 2020 GMC Sierra 3500HD. Closing = MAX(0, Opening - Principal)</t>
      </text>
    </comment>
    <comment ref="C33" authorId="0" shapeId="0">
      <text>
        <t>Loan: GM Financial, 2020 GMC Sierra 3500HD. Source: Meiborg_Debt_Schedule_202512.xlsx</t>
      </text>
    </comment>
    <comment ref="D33" authorId="0" shapeId="0">
      <text>
        <t>Loan: GM Financial, 2020 GMC Sierra 3500HD. Interest = MAX(0, Opening * Rate/12)</t>
      </text>
    </comment>
    <comment ref="E33" authorId="0" shapeId="0">
      <text>
        <t>Loan: GM Financial, 2020 GMC Sierra 3500HD. Principal = MAX(0, MIN(Opening, Payment - Interest))</t>
      </text>
    </comment>
    <comment ref="F33" authorId="0" shapeId="0">
      <text>
        <t>Loan: GM Financial, 2020 GMC Sierra 3500HD. Closing = MAX(0, Opening - Principal)</t>
      </text>
    </comment>
    <comment ref="C34" authorId="0" shapeId="0">
      <text>
        <t>Loan: GM Financial, 2020 GMC Sierra 3500HD. Source: Meiborg_Debt_Schedule_202512.xlsx</t>
      </text>
    </comment>
    <comment ref="D34" authorId="0" shapeId="0">
      <text>
        <t>Loan: GM Financial, 2020 GMC Sierra 3500HD. Interest = MAX(0, Opening * Rate/12)</t>
      </text>
    </comment>
    <comment ref="E34" authorId="0" shapeId="0">
      <text>
        <t>Loan: GM Financial, 2020 GMC Sierra 3500HD. Principal = MAX(0, MIN(Opening, Payment - Interest))</t>
      </text>
    </comment>
    <comment ref="F34" authorId="0" shapeId="0">
      <text>
        <t>Loan: GM Financial, 2020 GMC Sierra 3500HD. Closing = MAX(0, Opening - Principal)</t>
      </text>
    </comment>
    <comment ref="C35" authorId="0" shapeId="0">
      <text>
        <t>Loan: GM Financial, 2020 GMC Sierra 3500HD. Source: Meiborg_Debt_Schedule_202512.xlsx</t>
      </text>
    </comment>
    <comment ref="D35" authorId="0" shapeId="0">
      <text>
        <t>Loan: GM Financial, 2020 GMC Sierra 3500HD. Interest = MAX(0, Opening * Rate/12)</t>
      </text>
    </comment>
    <comment ref="E35" authorId="0" shapeId="0">
      <text>
        <t>Loan: GM Financial, 2020 GMC Sierra 3500HD. Principal = MAX(0, MIN(Opening, Payment - Interest))</t>
      </text>
    </comment>
    <comment ref="F35" authorId="0" shapeId="0">
      <text>
        <t>Loan: GM Financial, 2020 GMC Sierra 3500HD. Closing = MAX(0, Opening - Principal)</t>
      </text>
    </comment>
    <comment ref="C36" authorId="0" shapeId="0">
      <text>
        <t>Loan: GM Financial, 2020 GMC Sierra 3500HD. Source: Meiborg_Debt_Schedule_202512.xlsx</t>
      </text>
    </comment>
    <comment ref="D36" authorId="0" shapeId="0">
      <text>
        <t>Loan: GM Financial, 2020 GMC Sierra 3500HD. Interest = MAX(0, Opening * Rate/12)</t>
      </text>
    </comment>
    <comment ref="E36" authorId="0" shapeId="0">
      <text>
        <t>Loan: GM Financial, 2020 GMC Sierra 3500HD. Principal = MAX(0, MIN(Opening, Payment - Interest))</t>
      </text>
    </comment>
    <comment ref="F36" authorId="0" shapeId="0">
      <text>
        <t>Loan: GM Financial, 2020 GMC Sierra 3500HD. Closing = MAX(0, Opening - Principal)</t>
      </text>
    </comment>
    <comment ref="C37" authorId="0" shapeId="0">
      <text>
        <t>Loan: GM Financial, 2020 GMC Sierra 3500HD. Source: Meiborg_Debt_Schedule_202512.xlsx</t>
      </text>
    </comment>
    <comment ref="D37" authorId="0" shapeId="0">
      <text>
        <t>Loan: GM Financial, 2020 GMC Sierra 3500HD. Interest = MAX(0, Opening * Rate/12)</t>
      </text>
    </comment>
    <comment ref="E37" authorId="0" shapeId="0">
      <text>
        <t>Loan: GM Financial, 2020 GMC Sierra 3500HD. Principal = MAX(0, MIN(Opening, Payment - Interest))</t>
      </text>
    </comment>
    <comment ref="F37" authorId="0" shapeId="0">
      <text>
        <t>Loan: GM Financial, 2020 GMC Sierra 3500HD. Closing = MAX(0, Opening - Principal)</t>
      </text>
    </comment>
    <comment ref="C38" authorId="0" shapeId="0">
      <text>
        <t>Loan: GM Financial, 2020 GMC Sierra 3500HD. Source: Meiborg_Debt_Schedule_202512.xlsx</t>
      </text>
    </comment>
    <comment ref="D38" authorId="0" shapeId="0">
      <text>
        <t>Loan: GM Financial, 2020 GMC Sierra 3500HD. Interest = MAX(0, Opening * Rate/12)</t>
      </text>
    </comment>
    <comment ref="E38" authorId="0" shapeId="0">
      <text>
        <t>Loan: GM Financial, 2020 GMC Sierra 3500HD. Principal = MAX(0, MIN(Opening, Payment - Interest))</t>
      </text>
    </comment>
    <comment ref="F38" authorId="0" shapeId="0">
      <text>
        <t>Loan: GM Financial, 2020 GMC Sierra 3500HD. Closing = MAX(0, Opening - Principal)</t>
      </text>
    </comment>
    <comment ref="C39" authorId="0" shapeId="0">
      <text>
        <t>Loan: GM Financial, 2020 GMC Sierra 3500HD. Source: Meiborg_Debt_Schedule_202512.xlsx</t>
      </text>
    </comment>
    <comment ref="D39" authorId="0" shapeId="0">
      <text>
        <t>Loan: GM Financial, 2020 GMC Sierra 3500HD. Interest = MAX(0, Opening * Rate/12)</t>
      </text>
    </comment>
    <comment ref="E39" authorId="0" shapeId="0">
      <text>
        <t>Loan: GM Financial, 2020 GMC Sierra 3500HD. Principal = MAX(0, MIN(Opening, Payment - Interest))</t>
      </text>
    </comment>
    <comment ref="F39" authorId="0" shapeId="0">
      <text>
        <t>Loan: GM Financial, 2020 GMC Sierra 3500HD. Closing = MAX(0, Opening - Principal)</t>
      </text>
    </comment>
    <comment ref="C40" authorId="0" shapeId="0">
      <text>
        <t>Loan: GM Financial, 2020 GMC Sierra 3500HD. Source: Meiborg_Debt_Schedule_202512.xlsx</t>
      </text>
    </comment>
    <comment ref="D40" authorId="0" shapeId="0">
      <text>
        <t>Loan: GM Financial, 2020 GMC Sierra 3500HD. Interest = MAX(0, Opening * Rate/12)</t>
      </text>
    </comment>
    <comment ref="E40" authorId="0" shapeId="0">
      <text>
        <t>Loan: GM Financial, 2020 GMC Sierra 3500HD. Principal = MAX(0, MIN(Opening, Payment - Interest))</t>
      </text>
    </comment>
    <comment ref="F40" authorId="0" shapeId="0">
      <text>
        <t>Loan: GM Financial, 2020 GMC Sierra 3500HD. Closing = MAX(0, Opening - Principal)</t>
      </text>
    </comment>
    <comment ref="C41" authorId="0" shapeId="0">
      <text>
        <t>Loan: GM Financial, 2020 GMC Sierra 3500HD. Source: Meiborg_Debt_Schedule_202512.xlsx</t>
      </text>
    </comment>
    <comment ref="D41" authorId="0" shapeId="0">
      <text>
        <t>Loan: GM Financial, 2020 GMC Sierra 3500HD. Interest = MAX(0, Opening * Rate/12)</t>
      </text>
    </comment>
    <comment ref="E41" authorId="0" shapeId="0">
      <text>
        <t>Loan: GM Financial, 2020 GMC Sierra 3500HD. Principal = MAX(0, MIN(Opening, Payment - Interest))</t>
      </text>
    </comment>
    <comment ref="F41" authorId="0" shapeId="0">
      <text>
        <t>Loan: GM Financial, 2020 GMC Sierra 3500HD. Closing = MAX(0, Opening - Principal)</t>
      </text>
    </comment>
    <comment ref="C42" authorId="0" shapeId="0">
      <text>
        <t>Loan: GM Financial, 2020 GMC Sierra 3500HD. Source: Meiborg_Debt_Schedule_202512.xlsx</t>
      </text>
    </comment>
    <comment ref="D42" authorId="0" shapeId="0">
      <text>
        <t>Loan: GM Financial, 2020 GMC Sierra 3500HD. Interest = MAX(0, Opening * Rate/12)</t>
      </text>
    </comment>
    <comment ref="E42" authorId="0" shapeId="0">
      <text>
        <t>Loan: GM Financial, 2020 GMC Sierra 3500HD. Principal = MAX(0, MIN(Opening, Payment - Interest))</t>
      </text>
    </comment>
    <comment ref="F42" authorId="0" shapeId="0">
      <text>
        <t>Loan: GM Financial, 2020 GMC Sierra 3500HD. Closing = MAX(0, Opening - Principal)</t>
      </text>
    </comment>
    <comment ref="C43" authorId="0" shapeId="0">
      <text>
        <t>Loan: GM Financial, 2020 GMC Sierra 3500HD. Source: Meiborg_Debt_Schedule_202512.xlsx</t>
      </text>
    </comment>
    <comment ref="D43" authorId="0" shapeId="0">
      <text>
        <t>Loan: GM Financial, 2020 GMC Sierra 3500HD. Interest = MAX(0, Opening * Rate/12)</t>
      </text>
    </comment>
    <comment ref="E43" authorId="0" shapeId="0">
      <text>
        <t>Loan: GM Financial, 2020 GMC Sierra 3500HD. Principal = MAX(0, MIN(Opening, Payment - Interest))</t>
      </text>
    </comment>
    <comment ref="F43" authorId="0" shapeId="0">
      <text>
        <t>Loan: GM Financial, 2020 GMC Sierra 3500HD. Closing = MAX(0, Opening - Principal)</t>
      </text>
    </comment>
    <comment ref="C44" authorId="0" shapeId="0">
      <text>
        <t>Loan: GM Financial, 2020 GMC Sierra 3500HD. Source: Meiborg_Debt_Schedule_202512.xlsx</t>
      </text>
    </comment>
    <comment ref="D44" authorId="0" shapeId="0">
      <text>
        <t>Loan: GM Financial, 2020 GMC Sierra 3500HD. Interest = MAX(0, Opening * Rate/12)</t>
      </text>
    </comment>
    <comment ref="E44" authorId="0" shapeId="0">
      <text>
        <t>Loan: GM Financial, 2020 GMC Sierra 3500HD. Principal = MAX(0, MIN(Opening, Payment - Interest))</t>
      </text>
    </comment>
    <comment ref="F44" authorId="0" shapeId="0">
      <text>
        <t>Loan: GM Financial, 2020 GMC Sierra 3500HD. Closing = MAX(0, Opening - Principal)</t>
      </text>
    </comment>
    <comment ref="C45" authorId="0" shapeId="0">
      <text>
        <t>Loan: GM Financial, 2020 GMC Sierra 3500HD. Source: Meiborg_Debt_Schedule_202512.xlsx</t>
      </text>
    </comment>
    <comment ref="D45" authorId="0" shapeId="0">
      <text>
        <t>Loan: GM Financial, 2020 GMC Sierra 3500HD. Interest = MAX(0, Opening * Rate/12)</t>
      </text>
    </comment>
    <comment ref="E45" authorId="0" shapeId="0">
      <text>
        <t>Loan: GM Financial, 2020 GMC Sierra 3500HD. Principal = MAX(0, MIN(Opening, Payment - Interest))</t>
      </text>
    </comment>
    <comment ref="F45" authorId="0" shapeId="0">
      <text>
        <t>Loan: GM Financial, 2020 GMC Sierra 3500HD. Closing = MAX(0, Opening - Principal)</t>
      </text>
    </comment>
    <comment ref="C46" authorId="0" shapeId="0">
      <text>
        <t>Loan: GM Financial, 2020 GMC Sierra 3500HD. Source: Meiborg_Debt_Schedule_202512.xlsx</t>
      </text>
    </comment>
    <comment ref="D46" authorId="0" shapeId="0">
      <text>
        <t>Loan: GM Financial, 2020 GMC Sierra 3500HD. Interest = MAX(0, Opening * Rate/12)</t>
      </text>
    </comment>
    <comment ref="E46" authorId="0" shapeId="0">
      <text>
        <t>Loan: GM Financial, 2020 GMC Sierra 3500HD. Principal = MAX(0, MIN(Opening, Payment - Interest))</t>
      </text>
    </comment>
    <comment ref="F46" authorId="0" shapeId="0">
      <text>
        <t>Loan: GM Financial, 2020 GMC Sierra 3500HD. Closing = MAX(0, Opening - Principal)</t>
      </text>
    </comment>
    <comment ref="C47" authorId="0" shapeId="0">
      <text>
        <t>Loan: GM Financial, 2020 GMC Sierra 3500HD. Source: Meiborg_Debt_Schedule_202512.xlsx</t>
      </text>
    </comment>
    <comment ref="D47" authorId="0" shapeId="0">
      <text>
        <t>Loan: GM Financial, 2020 GMC Sierra 3500HD. Interest = MAX(0, Opening * Rate/12)</t>
      </text>
    </comment>
    <comment ref="E47" authorId="0" shapeId="0">
      <text>
        <t>Loan: GM Financial, 2020 GMC Sierra 3500HD. Principal = MAX(0, MIN(Opening, Payment - Interest))</t>
      </text>
    </comment>
    <comment ref="F47" authorId="0" shapeId="0">
      <text>
        <t>Loan: GM Financial, 2020 GMC Sierra 3500HD. Closing = MAX(0, Opening - Principal)</t>
      </text>
    </comment>
    <comment ref="C48" authorId="0" shapeId="0">
      <text>
        <t>Loan: GM Financial, 2020 GMC Sierra 3500HD. Source: Meiborg_Debt_Schedule_202512.xlsx</t>
      </text>
    </comment>
    <comment ref="D48" authorId="0" shapeId="0">
      <text>
        <t>Loan: GM Financial, 2020 GMC Sierra 3500HD. Interest = MAX(0, Opening * Rate/12)</t>
      </text>
    </comment>
    <comment ref="E48" authorId="0" shapeId="0">
      <text>
        <t>Loan: GM Financial, 2020 GMC Sierra 3500HD. Principal = MAX(0, MIN(Opening, Payment - Interest))</t>
      </text>
    </comment>
    <comment ref="F48" authorId="0" shapeId="0">
      <text>
        <t>Loan: GM Financial, 2020 GMC Sierra 3500HD. Closing = MAX(0, Opening - Principal)</t>
      </text>
    </comment>
    <comment ref="C49" authorId="0" shapeId="0">
      <text>
        <t>Loan: GM Financial, 2020 GMC Sierra 3500HD. Source: Meiborg_Debt_Schedule_202512.xlsx</t>
      </text>
    </comment>
    <comment ref="D49" authorId="0" shapeId="0">
      <text>
        <t>Loan: GM Financial, 2020 GMC Sierra 3500HD. Interest = MAX(0, Opening * Rate/12)</t>
      </text>
    </comment>
    <comment ref="E49" authorId="0" shapeId="0">
      <text>
        <t>Loan: GM Financial, 2020 GMC Sierra 3500HD. Principal = MAX(0, MIN(Opening, Payment - Interest))</t>
      </text>
    </comment>
    <comment ref="F49" authorId="0" shapeId="0">
      <text>
        <t>Loan: GM Financial, 2020 GMC Sierra 3500HD. Closing = MAX(0, Opening - Principal)</t>
      </text>
    </comment>
    <comment ref="C50" authorId="0" shapeId="0">
      <text>
        <t>Loan: GM Financial, 2020 GMC Sierra 3500HD. Source: Meiborg_Debt_Schedule_202512.xlsx</t>
      </text>
    </comment>
    <comment ref="D50" authorId="0" shapeId="0">
      <text>
        <t>Loan: GM Financial, 2020 GMC Sierra 3500HD. Interest = MAX(0, Opening * Rate/12)</t>
      </text>
    </comment>
    <comment ref="E50" authorId="0" shapeId="0">
      <text>
        <t>Loan: GM Financial, 2020 GMC Sierra 3500HD. Principal = MAX(0, MIN(Opening, Payment - Interest))</t>
      </text>
    </comment>
    <comment ref="F50" authorId="0" shapeId="0">
      <text>
        <t>Loan: GM Financial, 2020 GMC Sierra 3500HD. Closing = MAX(0, Opening - Principal)</t>
      </text>
    </comment>
    <comment ref="C51" authorId="0" shapeId="0">
      <text>
        <t>Loan: GM Financial, 2020 GMC Sierra 3500HD. Source: Meiborg_Debt_Schedule_202512.xlsx</t>
      </text>
    </comment>
    <comment ref="D51" authorId="0" shapeId="0">
      <text>
        <t>Loan: GM Financial, 2020 GMC Sierra 3500HD. Interest = MAX(0, Opening * Rate/12)</t>
      </text>
    </comment>
    <comment ref="E51" authorId="0" shapeId="0">
      <text>
        <t>Loan: GM Financial, 2020 GMC Sierra 3500HD. Principal = MAX(0, MIN(Opening, Payment - Interest))</t>
      </text>
    </comment>
    <comment ref="F51" authorId="0" shapeId="0">
      <text>
        <t>Loan: GM Financial, 2020 GMC Sierra 3500HD. Closing = MAX(0, Opening - Principal)</t>
      </text>
    </comment>
    <comment ref="C52" authorId="0" shapeId="0">
      <text>
        <t>Loan: GM Financial, 2020 GMC Sierra 3500HD. Source: Meiborg_Debt_Schedule_202512.xlsx</t>
      </text>
    </comment>
    <comment ref="D52" authorId="0" shapeId="0">
      <text>
        <t>Loan: GM Financial, 2020 GMC Sierra 3500HD. Interest = MAX(0, Opening * Rate/12)</t>
      </text>
    </comment>
    <comment ref="E52" authorId="0" shapeId="0">
      <text>
        <t>Loan: GM Financial, 2020 GMC Sierra 3500HD. Principal = MAX(0, MIN(Opening, Payment - Interest))</t>
      </text>
    </comment>
    <comment ref="F52" authorId="0" shapeId="0">
      <text>
        <t>Loan: GM Financial, 2020 GMC Sierra 3500HD. Closing = MAX(0, Opening - Principal)</t>
      </text>
    </comment>
    <comment ref="C53" authorId="0" shapeId="0">
      <text>
        <t>Loan: GM Financial, 2020 GMC Sierra 3500HD. Source: Meiborg_Debt_Schedule_202512.xlsx</t>
      </text>
    </comment>
    <comment ref="D53" authorId="0" shapeId="0">
      <text>
        <t>Loan: GM Financial, 2020 GMC Sierra 3500HD. Interest = MAX(0, Opening * Rate/12)</t>
      </text>
    </comment>
    <comment ref="E53" authorId="0" shapeId="0">
      <text>
        <t>Loan: GM Financial, 2020 GMC Sierra 3500HD. Principal = MAX(0, MIN(Opening, Payment - Interest))</t>
      </text>
    </comment>
    <comment ref="F53" authorId="0" shapeId="0">
      <text>
        <t>Loan: GM Financial, 2020 GMC Sierra 3500HD. Closing = MAX(0, Opening - Principal)</t>
      </text>
    </comment>
    <comment ref="C54" authorId="0" shapeId="0">
      <text>
        <t>Loan: GM Financial, 2020 GMC Sierra 3500HD. Source: Meiborg_Debt_Schedule_202512.xlsx</t>
      </text>
    </comment>
    <comment ref="D54" authorId="0" shapeId="0">
      <text>
        <t>Loan: GM Financial, 2020 GMC Sierra 3500HD. Interest = MAX(0, Opening * Rate/12)</t>
      </text>
    </comment>
    <comment ref="E54" authorId="0" shapeId="0">
      <text>
        <t>Loan: GM Financial, 2020 GMC Sierra 3500HD. Principal = MAX(0, MIN(Opening, Payment - Interest))</t>
      </text>
    </comment>
    <comment ref="F54" authorId="0" shapeId="0">
      <text>
        <t>Loan: GM Financial, 2020 GMC Sierra 3500HD. Closing = MAX(0, Opening - Principal)</t>
      </text>
    </comment>
    <comment ref="C55" authorId="0" shapeId="0">
      <text>
        <t>Loan: GM Financial, 2020 GMC Sierra 3500HD. Source: Meiborg_Debt_Schedule_202512.xlsx</t>
      </text>
    </comment>
    <comment ref="D55" authorId="0" shapeId="0">
      <text>
        <t>Loan: GM Financial, 2020 GMC Sierra 3500HD. Interest = MAX(0, Opening * Rate/12)</t>
      </text>
    </comment>
    <comment ref="E55" authorId="0" shapeId="0">
      <text>
        <t>Loan: GM Financial, 2020 GMC Sierra 3500HD. Principal = MAX(0, MIN(Opening, Payment - Interest))</t>
      </text>
    </comment>
    <comment ref="F55" authorId="0" shapeId="0">
      <text>
        <t>Loan: GM Financial, 2020 GMC Sierra 3500HD. Closing = MAX(0, Opening - Principal)</t>
      </text>
    </comment>
    <comment ref="C56" authorId="0" shapeId="0">
      <text>
        <t>Loan: GM Financial, 2020 GMC Sierra 3500HD. Source: Meiborg_Debt_Schedule_202512.xlsx</t>
      </text>
    </comment>
    <comment ref="D56" authorId="0" shapeId="0">
      <text>
        <t>Loan: GM Financial, 2020 GMC Sierra 3500HD. Interest = MAX(0, Opening * Rate/12)</t>
      </text>
    </comment>
    <comment ref="E56" authorId="0" shapeId="0">
      <text>
        <t>Loan: GM Financial, 2020 GMC Sierra 3500HD. Principal = MAX(0, MIN(Opening, Payment - Interest))</t>
      </text>
    </comment>
    <comment ref="F56" authorId="0" shapeId="0">
      <text>
        <t>Loan: GM Financial, 2020 GMC Sierra 3500HD. Closing = MAX(0, Opening - Principal)</t>
      </text>
    </comment>
    <comment ref="C57" authorId="0" shapeId="0">
      <text>
        <t>Loan: GM Financial, 2020 GMC Sierra 3500HD. Source: Meiborg_Debt_Schedule_202512.xlsx</t>
      </text>
    </comment>
    <comment ref="D57" authorId="0" shapeId="0">
      <text>
        <t>Loan: GM Financial, 2020 GMC Sierra 3500HD. Interest = MAX(0, Opening * Rate/12)</t>
      </text>
    </comment>
    <comment ref="E57" authorId="0" shapeId="0">
      <text>
        <t>Loan: GM Financial, 2020 GMC Sierra 3500HD. Principal = MAX(0, MIN(Opening, Payment - Interest))</t>
      </text>
    </comment>
    <comment ref="F57" authorId="0" shapeId="0">
      <text>
        <t>Loan: GM Financial, 2020 GMC Sierra 3500HD. Closing = MAX(0, Opening - Principal)</t>
      </text>
    </comment>
    <comment ref="C58" authorId="0" shapeId="0">
      <text>
        <t>Loan: GM Financial, 2020 GMC Sierra 3500HD. Source: Meiborg_Debt_Schedule_202512.xlsx</t>
      </text>
    </comment>
    <comment ref="D58" authorId="0" shapeId="0">
      <text>
        <t>Loan: GM Financial, 2020 GMC Sierra 3500HD. Interest = MAX(0, Opening * Rate/12)</t>
      </text>
    </comment>
    <comment ref="E58" authorId="0" shapeId="0">
      <text>
        <t>Loan: GM Financial, 2020 GMC Sierra 3500HD. Principal = MAX(0, MIN(Opening, Payment - Interest))</t>
      </text>
    </comment>
    <comment ref="F58" authorId="0" shapeId="0">
      <text>
        <t>Loan: GM Financial, 2020 GMC Sierra 3500HD. Closing = MAX(0, Opening - Principal)</t>
      </text>
    </comment>
    <comment ref="C59" authorId="0" shapeId="0">
      <text>
        <t>Loan: GM Financial, 2020 GMC Sierra 3500HD. Source: Meiborg_Debt_Schedule_202512.xlsx</t>
      </text>
    </comment>
    <comment ref="D59" authorId="0" shapeId="0">
      <text>
        <t>Loan: GM Financial, 2020 GMC Sierra 3500HD. Interest = MAX(0, Opening * Rate/12)</t>
      </text>
    </comment>
    <comment ref="E59" authorId="0" shapeId="0">
      <text>
        <t>Loan: GM Financial, 2020 GMC Sierra 3500HD. Principal = MAX(0, MIN(Opening, Payment - Interest))</t>
      </text>
    </comment>
    <comment ref="F59" authorId="0" shapeId="0">
      <text>
        <t>Loan: GM Financial, 2020 GMC Sierra 3500HD. Closing = MAX(0, Opening - Principal)</t>
      </text>
    </comment>
    <comment ref="C60" authorId="0" shapeId="0">
      <text>
        <t>Loan: GM Financial, 2020 GMC Sierra 3500HD. Source: Meiborg_Debt_Schedule_202512.xlsx</t>
      </text>
    </comment>
    <comment ref="D60" authorId="0" shapeId="0">
      <text>
        <t>Loan: GM Financial, 2020 GMC Sierra 3500HD. Interest = MAX(0, Opening * Rate/12)</t>
      </text>
    </comment>
    <comment ref="E60" authorId="0" shapeId="0">
      <text>
        <t>Loan: GM Financial, 2020 GMC Sierra 3500HD. Principal = MAX(0, MIN(Opening, Payment - Interest))</t>
      </text>
    </comment>
    <comment ref="F60" authorId="0" shapeId="0">
      <text>
        <t>Loan: GM Financial, 2020 GMC Sierra 3500HD. Closing = MAX(0, Opening - Principal)</t>
      </text>
    </comment>
    <comment ref="C61" authorId="0" shapeId="0">
      <text>
        <t>Loan: GM Financial, 2020 GMC Sierra 3500HD. Source: Meiborg_Debt_Schedule_202512.xlsx</t>
      </text>
    </comment>
    <comment ref="D61" authorId="0" shapeId="0">
      <text>
        <t>Loan: GM Financial, 2020 GMC Sierra 3500HD. Interest = MAX(0, Opening * Rate/12)</t>
      </text>
    </comment>
    <comment ref="E61" authorId="0" shapeId="0">
      <text>
        <t>Loan: GM Financial, 2020 GMC Sierra 3500HD. Principal = MAX(0, MIN(Opening, Payment - Interest))</t>
      </text>
    </comment>
    <comment ref="F61" authorId="0" shapeId="0">
      <text>
        <t>Loan: GM Financial, 2020 GMC Sierra 3500HD. Closing = MAX(0, Opening - Principal)</t>
      </text>
    </comment>
    <comment ref="C62" authorId="0" shapeId="0">
      <text>
        <t>Loan: GM Financial, 2020 GMC Sierra 3500HD. Source: Meiborg_Debt_Schedule_202512.xlsx</t>
      </text>
    </comment>
    <comment ref="D62" authorId="0" shapeId="0">
      <text>
        <t>Loan: GM Financial, 2020 GMC Sierra 3500HD. Interest = MAX(0, Opening * Rate/12)</t>
      </text>
    </comment>
    <comment ref="E62" authorId="0" shapeId="0">
      <text>
        <t>Loan: GM Financial, 2020 GMC Sierra 3500HD. Principal = MAX(0, MIN(Opening, Payment - Interest))</t>
      </text>
    </comment>
    <comment ref="F62" authorId="0" shapeId="0">
      <text>
        <t>Loan: GM Financial, 2020 GMC Sierra 3500HD. Closing = MAX(0, Opening - Principal)</t>
      </text>
    </comment>
    <comment ref="C63" authorId="0" shapeId="0">
      <text>
        <t>Loan: GM Financial, 2020 GMC Sierra 3500HD. Source: Meiborg_Debt_Schedule_202512.xlsx</t>
      </text>
    </comment>
    <comment ref="D63" authorId="0" shapeId="0">
      <text>
        <t>Loan: GM Financial, 2020 GMC Sierra 3500HD. Interest = MAX(0, Opening * Rate/12)</t>
      </text>
    </comment>
    <comment ref="E63" authorId="0" shapeId="0">
      <text>
        <t>Loan: GM Financial, 2020 GMC Sierra 3500HD. Principal = MAX(0, MIN(Opening, Payment - Interest))</t>
      </text>
    </comment>
    <comment ref="F63" authorId="0" shapeId="0">
      <text>
        <t>Loan: GM Financial, 2020 GMC Sierra 3500HD. Closing = MAX(0, Opening - Principal)</t>
      </text>
    </comment>
    <comment ref="C64" authorId="0" shapeId="0">
      <text>
        <t>Loan: GM Financial, 2020 GMC Sierra 3500HD. Source: Meiborg_Debt_Schedule_202512.xlsx</t>
      </text>
    </comment>
    <comment ref="D64" authorId="0" shapeId="0">
      <text>
        <t>Loan: GM Financial, 2020 GMC Sierra 3500HD. Interest = MAX(0, Opening * Rate/12)</t>
      </text>
    </comment>
    <comment ref="E64" authorId="0" shapeId="0">
      <text>
        <t>Loan: GM Financial, 2020 GMC Sierra 3500HD. Principal = MAX(0, MIN(Opening, Payment - Interest))</t>
      </text>
    </comment>
    <comment ref="F64" authorId="0" shapeId="0">
      <text>
        <t>Loan: GM Financial, 2020 GMC Sierra 3500HD. Closing = MAX(0, Opening - Principal)</t>
      </text>
    </comment>
    <comment ref="C65" authorId="0" shapeId="0">
      <text>
        <t>Loan: GM Financial, 2020 GMC Sierra 3500HD. Source: Meiborg_Debt_Schedule_202512.xlsx</t>
      </text>
    </comment>
    <comment ref="D65" authorId="0" shapeId="0">
      <text>
        <t>Loan: GM Financial, 2020 GMC Sierra 3500HD. Interest = MAX(0, Opening * Rate/12)</t>
      </text>
    </comment>
    <comment ref="E65" authorId="0" shapeId="0">
      <text>
        <t>Loan: GM Financial, 2020 GMC Sierra 3500HD. Principal = MAX(0, MIN(Opening, Payment - Interest))</t>
      </text>
    </comment>
    <comment ref="F65" authorId="0" shapeId="0">
      <text>
        <t>Loan: GM Financial, 2020 GMC Sierra 3500HD. Closing = MAX(0, Opening - Principal)</t>
      </text>
    </comment>
    <comment ref="C66" authorId="0" shapeId="0">
      <text>
        <t>Loan: GM Financial, 2020 GMC Sierra 3500HD. Source: Meiborg_Debt_Schedule_202512.xlsx</t>
      </text>
    </comment>
    <comment ref="D66" authorId="0" shapeId="0">
      <text>
        <t>Loan: GM Financial, 2020 GMC Sierra 3500HD. Interest = MAX(0, Opening * Rate/12)</t>
      </text>
    </comment>
    <comment ref="E66" authorId="0" shapeId="0">
      <text>
        <t>Loan: GM Financial, 2020 GMC Sierra 3500HD. Principal = MAX(0, MIN(Opening, Payment - Interest))</t>
      </text>
    </comment>
    <comment ref="F66" authorId="0" shapeId="0">
      <text>
        <t>Loan: GM Financial, 2020 GMC Sierra 3500HD. Closing = MAX(0, Opening - Principal)</t>
      </text>
    </comment>
    <comment ref="C67" authorId="0" shapeId="0">
      <text>
        <t>Loan: GM Financial, 2020 GMC Sierra 3500HD. Source: Meiborg_Debt_Schedule_202512.xlsx</t>
      </text>
    </comment>
    <comment ref="D67" authorId="0" shapeId="0">
      <text>
        <t>Loan: GM Financial, 2020 GMC Sierra 3500HD. Interest = MAX(0, Opening * Rate/12)</t>
      </text>
    </comment>
    <comment ref="E67" authorId="0" shapeId="0">
      <text>
        <t>Loan: GM Financial, 2020 GMC Sierra 3500HD. Principal = MAX(0, MIN(Opening, Payment - Interest))</t>
      </text>
    </comment>
    <comment ref="F67" authorId="0" shapeId="0">
      <text>
        <t>Loan: GM Financial, 2020 GMC Sierra 3500HD. Closing = MAX(0, Opening - Principal)</t>
      </text>
    </comment>
    <comment ref="C68" authorId="0" shapeId="0">
      <text>
        <t>Loan: GM Financial, 2020 GMC Sierra 3500HD. Source: Meiborg_Debt_Schedule_202512.xlsx</t>
      </text>
    </comment>
    <comment ref="D68" authorId="0" shapeId="0">
      <text>
        <t>Loan: GM Financial, 2020 GMC Sierra 3500HD. Interest = MAX(0, Opening * Rate/12)</t>
      </text>
    </comment>
    <comment ref="E68" authorId="0" shapeId="0">
      <text>
        <t>Loan: GM Financial, 2020 GMC Sierra 3500HD. Principal = MAX(0, MIN(Opening, Payment - Interest))</t>
      </text>
    </comment>
    <comment ref="F68" authorId="0" shapeId="0">
      <text>
        <t>Loan: GM Financial, 2020 GMC Sierra 3500HD. Closing = MAX(0, Opening - Principal)</t>
      </text>
    </comment>
    <comment ref="C69" authorId="0" shapeId="0">
      <text>
        <t>Loan: GM Financial, 2020 GMC Sierra 3500HD. Source: Meiborg_Debt_Schedule_202512.xlsx</t>
      </text>
    </comment>
    <comment ref="D69" authorId="0" shapeId="0">
      <text>
        <t>Loan: GM Financial, 2020 GMC Sierra 3500HD. Interest = MAX(0, Opening * Rate/12)</t>
      </text>
    </comment>
    <comment ref="E69" authorId="0" shapeId="0">
      <text>
        <t>Loan: GM Financial, 2020 GMC Sierra 3500HD. Principal = MAX(0, MIN(Opening, Payment - Interest))</t>
      </text>
    </comment>
    <comment ref="F69" authorId="0" shapeId="0">
      <text>
        <t>Loan: GM Financial, 2020 GMC Sierra 3500HD. Closing = MAX(0, Opening - Principal)</t>
      </text>
    </comment>
    <comment ref="C70" authorId="0" shapeId="0">
      <text>
        <t>Loan: GM Financial, 2020 GMC Sierra 3500HD. Source: Meiborg_Debt_Schedule_202512.xlsx</t>
      </text>
    </comment>
    <comment ref="D70" authorId="0" shapeId="0">
      <text>
        <t>Loan: GM Financial, 2020 GMC Sierra 3500HD. Interest = MAX(0, Opening * Rate/12)</t>
      </text>
    </comment>
    <comment ref="E70" authorId="0" shapeId="0">
      <text>
        <t>Loan: GM Financial, 2020 GMC Sierra 3500HD. Principal = MAX(0, MIN(Opening, Payment - Interest))</t>
      </text>
    </comment>
    <comment ref="F70" authorId="0" shapeId="0">
      <text>
        <t>Loan: GM Financial, 2020 GMC Sierra 3500HD. Closing = MAX(0, Opening - Principal)</t>
      </text>
    </comment>
    <comment ref="C71" authorId="0" shapeId="0">
      <text>
        <t>Loan: GM Financial, 2020 GMC Sierra 3500HD. Source: Meiborg_Debt_Schedule_202512.xlsx</t>
      </text>
    </comment>
    <comment ref="D71" authorId="0" shapeId="0">
      <text>
        <t>Loan: GM Financial, 2020 GMC Sierra 3500HD. Interest = MAX(0, Opening * Rate/12)</t>
      </text>
    </comment>
    <comment ref="E71" authorId="0" shapeId="0">
      <text>
        <t>Loan: GM Financial, 2020 GMC Sierra 3500HD. Principal = MAX(0, MIN(Opening, Payment - Interest))</t>
      </text>
    </comment>
    <comment ref="F71" authorId="0" shapeId="0">
      <text>
        <t>Loan: GM Financial, 2020 GMC Sierra 3500HD. Closing = MAX(0, Opening - Principal)</t>
      </text>
    </comment>
    <comment ref="C72" authorId="0" shapeId="0">
      <text>
        <t>Loan: GM Financial, 2020 GMC Sierra 3500HD. Source: Meiborg_Debt_Schedule_202512.xlsx</t>
      </text>
    </comment>
    <comment ref="D72" authorId="0" shapeId="0">
      <text>
        <t>Loan: GM Financial, 2020 GMC Sierra 3500HD. Interest = MAX(0, Opening * Rate/12)</t>
      </text>
    </comment>
    <comment ref="E72" authorId="0" shapeId="0">
      <text>
        <t>Loan: GM Financial, 2020 GMC Sierra 3500HD. Principal = MAX(0, MIN(Opening, Payment - Interest))</t>
      </text>
    </comment>
    <comment ref="F72" authorId="0" shapeId="0">
      <text>
        <t>Loan: GM Financial, 2020 GMC Sierra 3500HD. Closing = MAX(0, Opening - Principal)</t>
      </text>
    </comment>
    <comment ref="C73" authorId="0" shapeId="0">
      <text>
        <t>Loan: GM Financial, 2020 GMC Sierra 3500HD. Source: Meiborg_Debt_Schedule_202512.xlsx</t>
      </text>
    </comment>
    <comment ref="D73" authorId="0" shapeId="0">
      <text>
        <t>Loan: GM Financial, 2020 GMC Sierra 3500HD. Interest = MAX(0, Opening * Rate/12)</t>
      </text>
    </comment>
    <comment ref="E73" authorId="0" shapeId="0">
      <text>
        <t>Loan: GM Financial, 2020 GMC Sierra 3500HD. Principal = MAX(0, MIN(Opening, Payment - Interest))</t>
      </text>
    </comment>
    <comment ref="F73" authorId="0" shapeId="0">
      <text>
        <t>Loan: GM Financial, 2020 GMC Sierra 3500HD. Closing = MAX(0, Opening - Principal)</t>
      </text>
    </comment>
    <comment ref="C74" authorId="0" shapeId="0">
      <text>
        <t>Loan: GM Financial, 2020 GMC Sierra 3500HD. Source: Meiborg_Debt_Schedule_202512.xlsx</t>
      </text>
    </comment>
    <comment ref="D74" authorId="0" shapeId="0">
      <text>
        <t>Loan: GM Financial, 2020 GMC Sierra 3500HD. Interest = MAX(0, Opening * Rate/12)</t>
      </text>
    </comment>
    <comment ref="E74" authorId="0" shapeId="0">
      <text>
        <t>Loan: GM Financial, 2020 GMC Sierra 3500HD. Principal = MAX(0, MIN(Opening, Payment - Interest))</t>
      </text>
    </comment>
    <comment ref="F74" authorId="0" shapeId="0">
      <text>
        <t>Loan: GM Financial, 2020 GMC Sierra 3500HD. Closing = MAX(0, Opening - Principal)</t>
      </text>
    </comment>
    <comment ref="C75" authorId="0" shapeId="0">
      <text>
        <t>Loan: GM Financial, 2020 GMC Sierra 3500HD. Source: Meiborg_Debt_Schedule_202512.xlsx</t>
      </text>
    </comment>
    <comment ref="D75" authorId="0" shapeId="0">
      <text>
        <t>Loan: GM Financial, 2020 GMC Sierra 3500HD. Interest = MAX(0, Opening * Rate/12)</t>
      </text>
    </comment>
    <comment ref="E75" authorId="0" shapeId="0">
      <text>
        <t>Loan: GM Financial, 2020 GMC Sierra 3500HD. Principal = MAX(0, MIN(Opening, Payment - Interest))</t>
      </text>
    </comment>
    <comment ref="F75" authorId="0" shapeId="0">
      <text>
        <t>Loan: GM Financial, 2020 GMC Sierra 3500HD. Closing = MAX(0, Opening - Principal)</t>
      </text>
    </comment>
    <comment ref="C76" authorId="0" shapeId="0">
      <text>
        <t>Loan: GM Financial, 2020 GMC Sierra 3500HD. Source: Meiborg_Debt_Schedule_202512.xlsx</t>
      </text>
    </comment>
    <comment ref="D76" authorId="0" shapeId="0">
      <text>
        <t>Loan: GM Financial, 2020 GMC Sierra 3500HD. Interest = MAX(0, Opening * Rate/12)</t>
      </text>
    </comment>
    <comment ref="E76" authorId="0" shapeId="0">
      <text>
        <t>Loan: GM Financial, 2020 GMC Sierra 3500HD. Principal = MAX(0, MIN(Opening, Payment - Interest))</t>
      </text>
    </comment>
    <comment ref="F76" authorId="0" shapeId="0">
      <text>
        <t>Loan: GM Financial, 2020 GMC Sierra 3500HD. Closing = MAX(0, Opening - Principal)</t>
      </text>
    </comment>
    <comment ref="C77" authorId="0" shapeId="0">
      <text>
        <t>Loan: GM Financial, 2020 GMC Sierra 3500HD. Source: Meiborg_Debt_Schedule_202512.xlsx</t>
      </text>
    </comment>
    <comment ref="D77" authorId="0" shapeId="0">
      <text>
        <t>Loan: GM Financial, 2020 GMC Sierra 3500HD. Interest = MAX(0, Opening * Rate/12)</t>
      </text>
    </comment>
    <comment ref="E77" authorId="0" shapeId="0">
      <text>
        <t>Loan: GM Financial, 2020 GMC Sierra 3500HD. Principal = MAX(0, MIN(Opening, Payment - Interest))</t>
      </text>
    </comment>
    <comment ref="F77" authorId="0" shapeId="0">
      <text>
        <t>Loan: GM Financial, 2020 GMC Sierra 3500HD. Closing = MAX(0, Opening - Principal)</t>
      </text>
    </comment>
    <comment ref="C78" authorId="0" shapeId="0">
      <text>
        <t>Loan: GM Financial, 2020 GMC Sierra 3500HD. Source: Meiborg_Debt_Schedule_202512.xlsx</t>
      </text>
    </comment>
    <comment ref="D78" authorId="0" shapeId="0">
      <text>
        <t>Loan: GM Financial, 2020 GMC Sierra 3500HD. Interest = MAX(0, Opening * Rate/12)</t>
      </text>
    </comment>
    <comment ref="E78" authorId="0" shapeId="0">
      <text>
        <t>Loan: GM Financial, 2020 GMC Sierra 3500HD. Principal = MAX(0, MIN(Opening, Payment - Interest))</t>
      </text>
    </comment>
    <comment ref="F78" authorId="0" shapeId="0">
      <text>
        <t>Loan: GM Financial, 2020 GMC Sierra 3500HD. Closing = MAX(0, Opening - Principal)</t>
      </text>
    </comment>
    <comment ref="C79" authorId="0" shapeId="0">
      <text>
        <t>Loan: GM Financial, 2020 GMC Sierra 3500HD. Source: Meiborg_Debt_Schedule_202512.xlsx</t>
      </text>
    </comment>
    <comment ref="D79" authorId="0" shapeId="0">
      <text>
        <t>Loan: GM Financial, 2020 GMC Sierra 3500HD. Interest = MAX(0, Opening * Rate/12)</t>
      </text>
    </comment>
    <comment ref="E79" authorId="0" shapeId="0">
      <text>
        <t>Loan: GM Financial, 2020 GMC Sierra 3500HD. Principal = MAX(0, MIN(Opening, Payment - Interest))</t>
      </text>
    </comment>
    <comment ref="F79" authorId="0" shapeId="0">
      <text>
        <t>Loan: GM Financial, 2020 GMC Sierra 3500HD. Closing = MAX(0, Opening - Principal)</t>
      </text>
    </comment>
    <comment ref="C80" authorId="0" shapeId="0">
      <text>
        <t>Loan: GM Financial, 2020 GMC Sierra 3500HD. Source: Meiborg_Debt_Schedule_202512.xlsx</t>
      </text>
    </comment>
    <comment ref="D80" authorId="0" shapeId="0">
      <text>
        <t>Loan: GM Financial, 2020 GMC Sierra 3500HD. Interest = MAX(0, Opening * Rate/12)</t>
      </text>
    </comment>
    <comment ref="E80" authorId="0" shapeId="0">
      <text>
        <t>Loan: GM Financial, 2020 GMC Sierra 3500HD. Principal = MAX(0, MIN(Opening, Payment - Interest))</t>
      </text>
    </comment>
    <comment ref="F80" authorId="0" shapeId="0">
      <text>
        <t>Loan: GM Financial, 2020 GMC Sierra 3500HD. Closing = MAX(0, Opening - Principal)</t>
      </text>
    </comment>
    <comment ref="C81" authorId="0" shapeId="0">
      <text>
        <t>Loan: GM Financial, 2020 GMC Sierra 3500HD. Source: Meiborg_Debt_Schedule_202512.xlsx</t>
      </text>
    </comment>
    <comment ref="D81" authorId="0" shapeId="0">
      <text>
        <t>Loan: GM Financial, 2020 GMC Sierra 3500HD. Interest = MAX(0, Opening * Rate/12)</t>
      </text>
    </comment>
    <comment ref="E81" authorId="0" shapeId="0">
      <text>
        <t>Loan: GM Financial, 2020 GMC Sierra 3500HD. Principal = MAX(0, MIN(Opening, Payment - Interest))</t>
      </text>
    </comment>
    <comment ref="F81" authorId="0" shapeId="0">
      <text>
        <t>Loan: GM Financial, 2020 GMC Sierra 3500HD. Closing = MAX(0, Opening - Principal)</t>
      </text>
    </comment>
    <comment ref="C82" authorId="0" shapeId="0">
      <text>
        <t>Loan: GM Financial, 2020 GMC Sierra 3500HD. Source: Meiborg_Debt_Schedule_202512.xlsx</t>
      </text>
    </comment>
    <comment ref="D82" authorId="0" shapeId="0">
      <text>
        <t>Loan: GM Financial, 2020 GMC Sierra 3500HD. Interest = MAX(0, Opening * Rate/12)</t>
      </text>
    </comment>
    <comment ref="E82" authorId="0" shapeId="0">
      <text>
        <t>Loan: GM Financial, 2020 GMC Sierra 3500HD. Principal = MAX(0, MIN(Opening, Payment - Interest))</t>
      </text>
    </comment>
    <comment ref="F82" authorId="0" shapeId="0">
      <text>
        <t>Loan: GM Financial, 2020 GMC Sierra 3500HD. Closing = MAX(0, Opening - Principal)</t>
      </text>
    </comment>
    <comment ref="C83" authorId="0" shapeId="0">
      <text>
        <t>Loan: GM Financial, 2020 GMC Sierra 3500HD. Source: Meiborg_Debt_Schedule_202512.xlsx</t>
      </text>
    </comment>
    <comment ref="D83" authorId="0" shapeId="0">
      <text>
        <t>Loan: GM Financial, 2020 GMC Sierra 3500HD. Interest = MAX(0, Opening * Rate/12)</t>
      </text>
    </comment>
    <comment ref="E83" authorId="0" shapeId="0">
      <text>
        <t>Loan: GM Financial, 2020 GMC Sierra 3500HD. Principal = MAX(0, MIN(Opening, Payment - Interest))</t>
      </text>
    </comment>
    <comment ref="F83" authorId="0" shapeId="0">
      <text>
        <t>Loan: GM Financial, 2020 GMC Sierra 3500HD. Closing = MAX(0, Opening - Principal)</t>
      </text>
    </comment>
    <comment ref="C84" authorId="0" shapeId="0">
      <text>
        <t>Loan: GM Financial, 2020 GMC Sierra 3500HD. Source: Meiborg_Debt_Schedule_202512.xlsx</t>
      </text>
    </comment>
    <comment ref="D84" authorId="0" shapeId="0">
      <text>
        <t>Loan: GM Financial, 2020 GMC Sierra 3500HD. Interest = MAX(0, Opening * Rate/12)</t>
      </text>
    </comment>
    <comment ref="E84" authorId="0" shapeId="0">
      <text>
        <t>Loan: GM Financial, 2020 GMC Sierra 3500HD. Principal = MAX(0, MIN(Opening, Payment - Interest))</t>
      </text>
    </comment>
    <comment ref="F84" authorId="0" shapeId="0">
      <text>
        <t>Loan: GM Financial, 2020 GMC Sierra 3500HD. Closing = MAX(0, Opening - Principal)</t>
      </text>
    </comment>
    <comment ref="C85" authorId="0" shapeId="0">
      <text>
        <t>Loan: GM Financial, 2020 GMC Sierra 3500HD. Source: Meiborg_Debt_Schedule_202512.xlsx</t>
      </text>
    </comment>
    <comment ref="D85" authorId="0" shapeId="0">
      <text>
        <t>Loan: GM Financial, 2020 GMC Sierra 3500HD. Interest = MAX(0, Opening * Rate/12)</t>
      </text>
    </comment>
    <comment ref="E85" authorId="0" shapeId="0">
      <text>
        <t>Loan: GM Financial, 2020 GMC Sierra 3500HD. Principal = MAX(0, MIN(Opening, Payment - Interest))</t>
      </text>
    </comment>
    <comment ref="F85" authorId="0" shapeId="0">
      <text>
        <t>Loan: GM Financial, 2020 GMC Sierra 3500HD. Closing = MAX(0, Opening - Principal)</t>
      </text>
    </comment>
    <comment ref="C86" authorId="0" shapeId="0">
      <text>
        <t>Loan: GM Financial, 2020 GMC Sierra 3500HD. Source: Meiborg_Debt_Schedule_202512.xlsx</t>
      </text>
    </comment>
    <comment ref="D86" authorId="0" shapeId="0">
      <text>
        <t>Loan: GM Financial, 2020 GMC Sierra 3500HD. Interest = MAX(0, Opening * Rate/12)</t>
      </text>
    </comment>
    <comment ref="E86" authorId="0" shapeId="0">
      <text>
        <t>Loan: GM Financial, 2020 GMC Sierra 3500HD. Principal = MAX(0, MIN(Opening, Payment - Interest))</t>
      </text>
    </comment>
    <comment ref="F86" authorId="0" shapeId="0">
      <text>
        <t>Loan: GM Financial, 2020 GMC Sierra 3500HD. Closing = MAX(0, Opening - Principal)</t>
      </text>
    </comment>
    <comment ref="C87" authorId="0" shapeId="0">
      <text>
        <t>Loan: GM Financial, 2020 GMC Sierra 3500HD. Source: Meiborg_Debt_Schedule_202512.xlsx</t>
      </text>
    </comment>
    <comment ref="D87" authorId="0" shapeId="0">
      <text>
        <t>Loan: GM Financial, 2020 GMC Sierra 3500HD. Interest = MAX(0, Opening * Rate/12)</t>
      </text>
    </comment>
    <comment ref="E87" authorId="0" shapeId="0">
      <text>
        <t>Loan: GM Financial, 2020 GMC Sierra 3500HD. Principal = MAX(0, MIN(Opening, Payment - Interest))</t>
      </text>
    </comment>
    <comment ref="F87" authorId="0" shapeId="0">
      <text>
        <t>Loan: GM Financial, 2020 GMC Sierra 3500HD. Closing = MAX(0, Opening - Principal)</t>
      </text>
    </comment>
    <comment ref="C88" authorId="0" shapeId="0">
      <text>
        <t>Loan: GM Financial, 2020 GMC Sierra 3500HD. Source: Meiborg_Debt_Schedule_202512.xlsx</t>
      </text>
    </comment>
    <comment ref="D88" authorId="0" shapeId="0">
      <text>
        <t>Loan: GM Financial, 2020 GMC Sierra 3500HD. Interest = MAX(0, Opening * Rate/12)</t>
      </text>
    </comment>
    <comment ref="E88" authorId="0" shapeId="0">
      <text>
        <t>Loan: GM Financial, 2020 GMC Sierra 3500HD. Principal = MAX(0, MIN(Opening, Payment - Interest))</t>
      </text>
    </comment>
    <comment ref="F88" authorId="0" shapeId="0">
      <text>
        <t>Loan: GM Financial, 2020 GMC Sierra 3500HD. Closing = MAX(0, Opening - Principal)</t>
      </text>
    </comment>
    <comment ref="C92" authorId="0" shapeId="0">
      <text>
        <t>Sum of rows 18-29: Annual opening balance for 2026</t>
      </text>
    </comment>
    <comment ref="D92" authorId="0" shapeId="0">
      <text>
        <t>Sum of rows 18-29: Annual interest for 2026</t>
      </text>
    </comment>
    <comment ref="E92" authorId="0" shapeId="0">
      <text>
        <t>Sum of rows 18-29: Annual principal for 2026</t>
      </text>
    </comment>
    <comment ref="F92" authorId="0" shapeId="0">
      <text>
        <t>Sum of rows 18-29: Annual closing balance for 2026</t>
      </text>
    </comment>
    <comment ref="C93" authorId="0" shapeId="0">
      <text>
        <t>Sum of rows 30-41: Annual opening balance for 2027</t>
      </text>
    </comment>
    <comment ref="D93" authorId="0" shapeId="0">
      <text>
        <t>Sum of rows 30-41: Annual interest for 2027</t>
      </text>
    </comment>
    <comment ref="E93" authorId="0" shapeId="0">
      <text>
        <t>Sum of rows 30-41: Annual principal for 2027</t>
      </text>
    </comment>
    <comment ref="F93" authorId="0" shapeId="0">
      <text>
        <t>Sum of rows 30-41: Annual closing balance for 2027</t>
      </text>
    </comment>
    <comment ref="C94" authorId="0" shapeId="0">
      <text>
        <t>Sum of rows 42-53: Annual opening balance for 2028</t>
      </text>
    </comment>
    <comment ref="D94" authorId="0" shapeId="0">
      <text>
        <t>Sum of rows 42-53: Annual interest for 2028</t>
      </text>
    </comment>
    <comment ref="E94" authorId="0" shapeId="0">
      <text>
        <t>Sum of rows 42-53: Annual principal for 2028</t>
      </text>
    </comment>
    <comment ref="F94" authorId="0" shapeId="0">
      <text>
        <t>Sum of rows 42-53: Annual closing balance for 2028</t>
      </text>
    </comment>
  </commentList>
</comments>
</file>

<file path=xl/comments/comment85.xml><?xml version="1.0" encoding="utf-8"?>
<comments xmlns="http://schemas.openxmlformats.org/spreadsheetml/2006/main">
  <authors>
    <author>Model Builder</author>
  </authors>
  <commentList>
    <comment ref="B2" authorId="0" shapeId="0">
      <text>
        <t>Source: data/loans.md - First Commonwealth section
Extracted: 2025-12-31</t>
      </text>
    </comment>
    <comment ref="B6" authorId="0" shapeId="0">
      <text>
        <t>Source: data/loans.md - Balance as of 12/31/2025
Loan: First Commonwealth, 2021 Lowboy Vin 1068838. Source: Meiborg_Debt_Schedule_202512.xlsx</t>
      </text>
    </comment>
    <comment ref="B7" authorId="0" shapeId="0">
      <text>
        <t>Driver: Annual interest rate 9.55%. Source: Meiborg_Debt_Schedule_202512.xlsx</t>
      </text>
    </comment>
    <comment ref="C18" authorId="0" shapeId="0">
      <text>
        <t>Loan: First Commonwealth, 2021 Lowboy Vin 1068838. Source: Meiborg_Debt_Schedule_202512.xlsx</t>
      </text>
    </comment>
    <comment ref="D18" authorId="0" shapeId="0">
      <text>
        <t>Loan: First Commonwealth, 2021 Lowboy Vin 1068838. Interest = MAX(0, Opening * Rate/12)</t>
      </text>
    </comment>
    <comment ref="E18" authorId="0" shapeId="0">
      <text>
        <t>Loan: First Commonwealth, 2021 Lowboy Vin 1068838. Principal = MAX(0, MIN(Opening, Payment - Interest))</t>
      </text>
    </comment>
    <comment ref="F18" authorId="0" shapeId="0">
      <text>
        <t>Loan: First Commonwealth, 2021 Lowboy Vin 1068838. Closing = MAX(0, Opening - Principal)</t>
      </text>
    </comment>
    <comment ref="C19" authorId="0" shapeId="0">
      <text>
        <t>Loan: First Commonwealth, 2021 Lowboy Vin 1068838. Source: Meiborg_Debt_Schedule_202512.xlsx</t>
      </text>
    </comment>
    <comment ref="D19" authorId="0" shapeId="0">
      <text>
        <t>Loan: First Commonwealth, 2021 Lowboy Vin 1068838. Interest = MAX(0, Opening * Rate/12)</t>
      </text>
    </comment>
    <comment ref="E19" authorId="0" shapeId="0">
      <text>
        <t>Loan: First Commonwealth, 2021 Lowboy Vin 1068838. Principal = MAX(0, MIN(Opening, Payment - Interest))</t>
      </text>
    </comment>
    <comment ref="F19" authorId="0" shapeId="0">
      <text>
        <t>Loan: First Commonwealth, 2021 Lowboy Vin 1068838. Closing = MAX(0, Opening - Principal)</t>
      </text>
    </comment>
    <comment ref="C20" authorId="0" shapeId="0">
      <text>
        <t>Loan: First Commonwealth, 2021 Lowboy Vin 1068838. Source: Meiborg_Debt_Schedule_202512.xlsx</t>
      </text>
    </comment>
    <comment ref="D20" authorId="0" shapeId="0">
      <text>
        <t>Loan: First Commonwealth, 2021 Lowboy Vin 1068838. Interest = MAX(0, Opening * Rate/12)</t>
      </text>
    </comment>
    <comment ref="E20" authorId="0" shapeId="0">
      <text>
        <t>Loan: First Commonwealth, 2021 Lowboy Vin 1068838. Principal = MAX(0, MIN(Opening, Payment - Interest))</t>
      </text>
    </comment>
    <comment ref="F20" authorId="0" shapeId="0">
      <text>
        <t>Loan: First Commonwealth, 2021 Lowboy Vin 1068838. Closing = MAX(0, Opening - Principal)</t>
      </text>
    </comment>
    <comment ref="C21" authorId="0" shapeId="0">
      <text>
        <t>Loan: First Commonwealth, 2021 Lowboy Vin 1068838. Source: Meiborg_Debt_Schedule_202512.xlsx</t>
      </text>
    </comment>
    <comment ref="D21" authorId="0" shapeId="0">
      <text>
        <t>Loan: First Commonwealth, 2021 Lowboy Vin 1068838. Interest = MAX(0, Opening * Rate/12)</t>
      </text>
    </comment>
    <comment ref="E21" authorId="0" shapeId="0">
      <text>
        <t>Loan: First Commonwealth, 2021 Lowboy Vin 1068838. Principal = MAX(0, MIN(Opening, Payment - Interest))</t>
      </text>
    </comment>
    <comment ref="F21" authorId="0" shapeId="0">
      <text>
        <t>Loan: First Commonwealth, 2021 Lowboy Vin 1068838. Closing = MAX(0, Opening - Principal)</t>
      </text>
    </comment>
    <comment ref="C22" authorId="0" shapeId="0">
      <text>
        <t>Loan: First Commonwealth, 2021 Lowboy Vin 1068838. Source: Meiborg_Debt_Schedule_202512.xlsx</t>
      </text>
    </comment>
    <comment ref="D22" authorId="0" shapeId="0">
      <text>
        <t>Loan: First Commonwealth, 2021 Lowboy Vin 1068838. Interest = MAX(0, Opening * Rate/12)</t>
      </text>
    </comment>
    <comment ref="E22" authorId="0" shapeId="0">
      <text>
        <t>Loan: First Commonwealth, 2021 Lowboy Vin 1068838. Principal = MAX(0, MIN(Opening, Payment - Interest))</t>
      </text>
    </comment>
    <comment ref="F22" authorId="0" shapeId="0">
      <text>
        <t>Loan: First Commonwealth, 2021 Lowboy Vin 1068838. Closing = MAX(0, Opening - Principal)</t>
      </text>
    </comment>
    <comment ref="C23" authorId="0" shapeId="0">
      <text>
        <t>Loan: First Commonwealth, 2021 Lowboy Vin 1068838. Source: Meiborg_Debt_Schedule_202512.xlsx</t>
      </text>
    </comment>
    <comment ref="D23" authorId="0" shapeId="0">
      <text>
        <t>Loan: First Commonwealth, 2021 Lowboy Vin 1068838. Interest = MAX(0, Opening * Rate/12)</t>
      </text>
    </comment>
    <comment ref="E23" authorId="0" shapeId="0">
      <text>
        <t>Loan: First Commonwealth, 2021 Lowboy Vin 1068838. Principal = MAX(0, MIN(Opening, Payment - Interest))</t>
      </text>
    </comment>
    <comment ref="F23" authorId="0" shapeId="0">
      <text>
        <t>Loan: First Commonwealth, 2021 Lowboy Vin 1068838. Closing = MAX(0, Opening - Principal)</t>
      </text>
    </comment>
    <comment ref="C24" authorId="0" shapeId="0">
      <text>
        <t>Loan: First Commonwealth, 2021 Lowboy Vin 1068838. Source: Meiborg_Debt_Schedule_202512.xlsx</t>
      </text>
    </comment>
    <comment ref="D24" authorId="0" shapeId="0">
      <text>
        <t>Loan: First Commonwealth, 2021 Lowboy Vin 1068838. Interest = MAX(0, Opening * Rate/12)</t>
      </text>
    </comment>
    <comment ref="E24" authorId="0" shapeId="0">
      <text>
        <t>Loan: First Commonwealth, 2021 Lowboy Vin 1068838. Principal = MAX(0, MIN(Opening, Payment - Interest))</t>
      </text>
    </comment>
    <comment ref="F24" authorId="0" shapeId="0">
      <text>
        <t>Loan: First Commonwealth, 2021 Lowboy Vin 1068838. Closing = MAX(0, Opening - Principal)</t>
      </text>
    </comment>
    <comment ref="C25" authorId="0" shapeId="0">
      <text>
        <t>Loan: First Commonwealth, 2021 Lowboy Vin 1068838. Source: Meiborg_Debt_Schedule_202512.xlsx</t>
      </text>
    </comment>
    <comment ref="D25" authorId="0" shapeId="0">
      <text>
        <t>Loan: First Commonwealth, 2021 Lowboy Vin 1068838. Interest = MAX(0, Opening * Rate/12)</t>
      </text>
    </comment>
    <comment ref="E25" authorId="0" shapeId="0">
      <text>
        <t>Loan: First Commonwealth, 2021 Lowboy Vin 1068838. Principal = MAX(0, MIN(Opening, Payment - Interest))</t>
      </text>
    </comment>
    <comment ref="F25" authorId="0" shapeId="0">
      <text>
        <t>Loan: First Commonwealth, 2021 Lowboy Vin 1068838. Closing = MAX(0, Opening - Principal)</t>
      </text>
    </comment>
    <comment ref="C26" authorId="0" shapeId="0">
      <text>
        <t>Loan: First Commonwealth, 2021 Lowboy Vin 1068838. Source: Meiborg_Debt_Schedule_202512.xlsx</t>
      </text>
    </comment>
    <comment ref="D26" authorId="0" shapeId="0">
      <text>
        <t>Loan: First Commonwealth, 2021 Lowboy Vin 1068838. Interest = MAX(0, Opening * Rate/12)</t>
      </text>
    </comment>
    <comment ref="E26" authorId="0" shapeId="0">
      <text>
        <t>Loan: First Commonwealth, 2021 Lowboy Vin 1068838. Principal = MAX(0, MIN(Opening, Payment - Interest))</t>
      </text>
    </comment>
    <comment ref="F26" authorId="0" shapeId="0">
      <text>
        <t>Loan: First Commonwealth, 2021 Lowboy Vin 1068838. Closing = MAX(0, Opening - Principal)</t>
      </text>
    </comment>
    <comment ref="C27" authorId="0" shapeId="0">
      <text>
        <t>Loan: First Commonwealth, 2021 Lowboy Vin 1068838. Source: Meiborg_Debt_Schedule_202512.xlsx</t>
      </text>
    </comment>
    <comment ref="D27" authorId="0" shapeId="0">
      <text>
        <t>Loan: First Commonwealth, 2021 Lowboy Vin 1068838. Interest = MAX(0, Opening * Rate/12)</t>
      </text>
    </comment>
    <comment ref="E27" authorId="0" shapeId="0">
      <text>
        <t>Loan: First Commonwealth, 2021 Lowboy Vin 1068838. Principal = MAX(0, MIN(Opening, Payment - Interest))</t>
      </text>
    </comment>
    <comment ref="F27" authorId="0" shapeId="0">
      <text>
        <t>Loan: First Commonwealth, 2021 Lowboy Vin 1068838. Closing = MAX(0, Opening - Principal)</t>
      </text>
    </comment>
    <comment ref="C28" authorId="0" shapeId="0">
      <text>
        <t>Loan: First Commonwealth, 2021 Lowboy Vin 1068838. Source: Meiborg_Debt_Schedule_202512.xlsx</t>
      </text>
    </comment>
    <comment ref="D28" authorId="0" shapeId="0">
      <text>
        <t>Loan: First Commonwealth, 2021 Lowboy Vin 1068838. Interest = MAX(0, Opening * Rate/12)</t>
      </text>
    </comment>
    <comment ref="E28" authorId="0" shapeId="0">
      <text>
        <t>Loan: First Commonwealth, 2021 Lowboy Vin 1068838. Principal = MAX(0, MIN(Opening, Payment - Interest))</t>
      </text>
    </comment>
    <comment ref="F28" authorId="0" shapeId="0">
      <text>
        <t>Loan: First Commonwealth, 2021 Lowboy Vin 1068838. Closing = MAX(0, Opening - Principal)</t>
      </text>
    </comment>
    <comment ref="C29" authorId="0" shapeId="0">
      <text>
        <t>Loan: First Commonwealth, 2021 Lowboy Vin 1068838. Source: Meiborg_Debt_Schedule_202512.xlsx</t>
      </text>
    </comment>
    <comment ref="D29" authorId="0" shapeId="0">
      <text>
        <t>Loan: First Commonwealth, 2021 Lowboy Vin 1068838. Interest = MAX(0, Opening * Rate/12)</t>
      </text>
    </comment>
    <comment ref="E29" authorId="0" shapeId="0">
      <text>
        <t>Loan: First Commonwealth, 2021 Lowboy Vin 1068838. Principal = MAX(0, MIN(Opening, Payment - Interest))</t>
      </text>
    </comment>
    <comment ref="F29" authorId="0" shapeId="0">
      <text>
        <t>Loan: First Commonwealth, 2021 Lowboy Vin 1068838. Closing = MAX(0, Opening - Principal)</t>
      </text>
    </comment>
    <comment ref="C30" authorId="0" shapeId="0">
      <text>
        <t>Loan: First Commonwealth, 2021 Lowboy Vin 1068838. Source: Meiborg_Debt_Schedule_202512.xlsx</t>
      </text>
    </comment>
    <comment ref="D30" authorId="0" shapeId="0">
      <text>
        <t>Loan: First Commonwealth, 2021 Lowboy Vin 1068838. Interest = MAX(0, Opening * Rate/12)</t>
      </text>
    </comment>
    <comment ref="E30" authorId="0" shapeId="0">
      <text>
        <t>Loan: First Commonwealth, 2021 Lowboy Vin 1068838. Principal = MAX(0, MIN(Opening, Payment - Interest))</t>
      </text>
    </comment>
    <comment ref="F30" authorId="0" shapeId="0">
      <text>
        <t>Loan: First Commonwealth, 2021 Lowboy Vin 1068838. Closing = MAX(0, Opening - Principal)</t>
      </text>
    </comment>
    <comment ref="C31" authorId="0" shapeId="0">
      <text>
        <t>Loan: First Commonwealth, 2021 Lowboy Vin 1068838. Source: Meiborg_Debt_Schedule_202512.xlsx</t>
      </text>
    </comment>
    <comment ref="D31" authorId="0" shapeId="0">
      <text>
        <t>Loan: First Commonwealth, 2021 Lowboy Vin 1068838. Interest = MAX(0, Opening * Rate/12)</t>
      </text>
    </comment>
    <comment ref="E31" authorId="0" shapeId="0">
      <text>
        <t>Loan: First Commonwealth, 2021 Lowboy Vin 1068838. Principal = MAX(0, MIN(Opening, Payment - Interest))</t>
      </text>
    </comment>
    <comment ref="F31" authorId="0" shapeId="0">
      <text>
        <t>Loan: First Commonwealth, 2021 Lowboy Vin 1068838. Closing = MAX(0, Opening - Principal)</t>
      </text>
    </comment>
    <comment ref="C32" authorId="0" shapeId="0">
      <text>
        <t>Loan: First Commonwealth, 2021 Lowboy Vin 1068838. Source: Meiborg_Debt_Schedule_202512.xlsx</t>
      </text>
    </comment>
    <comment ref="D32" authorId="0" shapeId="0">
      <text>
        <t>Loan: First Commonwealth, 2021 Lowboy Vin 1068838. Interest = MAX(0, Opening * Rate/12)</t>
      </text>
    </comment>
    <comment ref="E32" authorId="0" shapeId="0">
      <text>
        <t>Loan: First Commonwealth, 2021 Lowboy Vin 1068838. Principal = MAX(0, MIN(Opening, Payment - Interest))</t>
      </text>
    </comment>
    <comment ref="F32" authorId="0" shapeId="0">
      <text>
        <t>Loan: First Commonwealth, 2021 Lowboy Vin 1068838. Closing = MAX(0, Opening - Principal)</t>
      </text>
    </comment>
    <comment ref="C33" authorId="0" shapeId="0">
      <text>
        <t>Loan: First Commonwealth, 2021 Lowboy Vin 1068838. Source: Meiborg_Debt_Schedule_202512.xlsx</t>
      </text>
    </comment>
    <comment ref="D33" authorId="0" shapeId="0">
      <text>
        <t>Loan: First Commonwealth, 2021 Lowboy Vin 1068838. Interest = MAX(0, Opening * Rate/12)</t>
      </text>
    </comment>
    <comment ref="E33" authorId="0" shapeId="0">
      <text>
        <t>Loan: First Commonwealth, 2021 Lowboy Vin 1068838. Principal = MAX(0, MIN(Opening, Payment - Interest))</t>
      </text>
    </comment>
    <comment ref="F33" authorId="0" shapeId="0">
      <text>
        <t>Loan: First Commonwealth, 2021 Lowboy Vin 1068838. Closing = MAX(0, Opening - Principal)</t>
      </text>
    </comment>
    <comment ref="C34" authorId="0" shapeId="0">
      <text>
        <t>Loan: First Commonwealth, 2021 Lowboy Vin 1068838. Source: Meiborg_Debt_Schedule_202512.xlsx</t>
      </text>
    </comment>
    <comment ref="D34" authorId="0" shapeId="0">
      <text>
        <t>Loan: First Commonwealth, 2021 Lowboy Vin 1068838. Interest = MAX(0, Opening * Rate/12)</t>
      </text>
    </comment>
    <comment ref="E34" authorId="0" shapeId="0">
      <text>
        <t>Loan: First Commonwealth, 2021 Lowboy Vin 1068838. Principal = MAX(0, MIN(Opening, Payment - Interest))</t>
      </text>
    </comment>
    <comment ref="F34" authorId="0" shapeId="0">
      <text>
        <t>Loan: First Commonwealth, 2021 Lowboy Vin 1068838. Closing = MAX(0, Opening - Principal)</t>
      </text>
    </comment>
    <comment ref="C35" authorId="0" shapeId="0">
      <text>
        <t>Loan: First Commonwealth, 2021 Lowboy Vin 1068838. Source: Meiborg_Debt_Schedule_202512.xlsx</t>
      </text>
    </comment>
    <comment ref="D35" authorId="0" shapeId="0">
      <text>
        <t>Loan: First Commonwealth, 2021 Lowboy Vin 1068838. Interest = MAX(0, Opening * Rate/12)</t>
      </text>
    </comment>
    <comment ref="E35" authorId="0" shapeId="0">
      <text>
        <t>Loan: First Commonwealth, 2021 Lowboy Vin 1068838. Principal = MAX(0, MIN(Opening, Payment - Interest))</t>
      </text>
    </comment>
    <comment ref="F35" authorId="0" shapeId="0">
      <text>
        <t>Loan: First Commonwealth, 2021 Lowboy Vin 1068838. Closing = MAX(0, Opening - Principal)</t>
      </text>
    </comment>
    <comment ref="C36" authorId="0" shapeId="0">
      <text>
        <t>Loan: First Commonwealth, 2021 Lowboy Vin 1068838. Source: Meiborg_Debt_Schedule_202512.xlsx</t>
      </text>
    </comment>
    <comment ref="D36" authorId="0" shapeId="0">
      <text>
        <t>Loan: First Commonwealth, 2021 Lowboy Vin 1068838. Interest = MAX(0, Opening * Rate/12)</t>
      </text>
    </comment>
    <comment ref="E36" authorId="0" shapeId="0">
      <text>
        <t>Loan: First Commonwealth, 2021 Lowboy Vin 1068838. Principal = MAX(0, MIN(Opening, Payment - Interest))</t>
      </text>
    </comment>
    <comment ref="F36" authorId="0" shapeId="0">
      <text>
        <t>Loan: First Commonwealth, 2021 Lowboy Vin 1068838. Closing = MAX(0, Opening - Principal)</t>
      </text>
    </comment>
    <comment ref="C37" authorId="0" shapeId="0">
      <text>
        <t>Loan: First Commonwealth, 2021 Lowboy Vin 1068838. Source: Meiborg_Debt_Schedule_202512.xlsx</t>
      </text>
    </comment>
    <comment ref="D37" authorId="0" shapeId="0">
      <text>
        <t>Loan: First Commonwealth, 2021 Lowboy Vin 1068838. Interest = MAX(0, Opening * Rate/12)</t>
      </text>
    </comment>
    <comment ref="E37" authorId="0" shapeId="0">
      <text>
        <t>Loan: First Commonwealth, 2021 Lowboy Vin 1068838. Principal = MAX(0, MIN(Opening, Payment - Interest))</t>
      </text>
    </comment>
    <comment ref="F37" authorId="0" shapeId="0">
      <text>
        <t>Loan: First Commonwealth, 2021 Lowboy Vin 1068838. Closing = MAX(0, Opening - Principal)</t>
      </text>
    </comment>
    <comment ref="C38" authorId="0" shapeId="0">
      <text>
        <t>Loan: First Commonwealth, 2021 Lowboy Vin 1068838. Source: Meiborg_Debt_Schedule_202512.xlsx</t>
      </text>
    </comment>
    <comment ref="D38" authorId="0" shapeId="0">
      <text>
        <t>Loan: First Commonwealth, 2021 Lowboy Vin 1068838. Interest = MAX(0, Opening * Rate/12)</t>
      </text>
    </comment>
    <comment ref="E38" authorId="0" shapeId="0">
      <text>
        <t>Loan: First Commonwealth, 2021 Lowboy Vin 1068838. Principal = MAX(0, MIN(Opening, Payment - Interest))</t>
      </text>
    </comment>
    <comment ref="F38" authorId="0" shapeId="0">
      <text>
        <t>Loan: First Commonwealth, 2021 Lowboy Vin 1068838. Closing = MAX(0, Opening - Principal)</t>
      </text>
    </comment>
    <comment ref="C39" authorId="0" shapeId="0">
      <text>
        <t>Loan: First Commonwealth, 2021 Lowboy Vin 1068838. Source: Meiborg_Debt_Schedule_202512.xlsx</t>
      </text>
    </comment>
    <comment ref="D39" authorId="0" shapeId="0">
      <text>
        <t>Loan: First Commonwealth, 2021 Lowboy Vin 1068838. Interest = MAX(0, Opening * Rate/12)</t>
      </text>
    </comment>
    <comment ref="E39" authorId="0" shapeId="0">
      <text>
        <t>Loan: First Commonwealth, 2021 Lowboy Vin 1068838. Principal = MAX(0, MIN(Opening, Payment - Interest))</t>
      </text>
    </comment>
    <comment ref="F39" authorId="0" shapeId="0">
      <text>
        <t>Loan: First Commonwealth, 2021 Lowboy Vin 1068838. Closing = MAX(0, Opening - Principal)</t>
      </text>
    </comment>
    <comment ref="C40" authorId="0" shapeId="0">
      <text>
        <t>Loan: First Commonwealth, 2021 Lowboy Vin 1068838. Source: Meiborg_Debt_Schedule_202512.xlsx</t>
      </text>
    </comment>
    <comment ref="D40" authorId="0" shapeId="0">
      <text>
        <t>Loan: First Commonwealth, 2021 Lowboy Vin 1068838. Interest = MAX(0, Opening * Rate/12)</t>
      </text>
    </comment>
    <comment ref="E40" authorId="0" shapeId="0">
      <text>
        <t>Loan: First Commonwealth, 2021 Lowboy Vin 1068838. Principal = MAX(0, MIN(Opening, Payment - Interest))</t>
      </text>
    </comment>
    <comment ref="F40" authorId="0" shapeId="0">
      <text>
        <t>Loan: First Commonwealth, 2021 Lowboy Vin 1068838. Closing = MAX(0, Opening - Principal)</t>
      </text>
    </comment>
    <comment ref="C41" authorId="0" shapeId="0">
      <text>
        <t>Loan: First Commonwealth, 2021 Lowboy Vin 1068838. Source: Meiborg_Debt_Schedule_202512.xlsx</t>
      </text>
    </comment>
    <comment ref="D41" authorId="0" shapeId="0">
      <text>
        <t>Loan: First Commonwealth, 2021 Lowboy Vin 1068838. Interest = MAX(0, Opening * Rate/12)</t>
      </text>
    </comment>
    <comment ref="E41" authorId="0" shapeId="0">
      <text>
        <t>Loan: First Commonwealth, 2021 Lowboy Vin 1068838. Principal = MAX(0, MIN(Opening, Payment - Interest))</t>
      </text>
    </comment>
    <comment ref="F41" authorId="0" shapeId="0">
      <text>
        <t>Loan: First Commonwealth, 2021 Lowboy Vin 1068838. Closing = MAX(0, Opening - Principal)</t>
      </text>
    </comment>
    <comment ref="C42" authorId="0" shapeId="0">
      <text>
        <t>Loan: First Commonwealth, 2021 Lowboy Vin 1068838. Source: Meiborg_Debt_Schedule_202512.xlsx</t>
      </text>
    </comment>
    <comment ref="D42" authorId="0" shapeId="0">
      <text>
        <t>Loan: First Commonwealth, 2021 Lowboy Vin 1068838. Interest = MAX(0, Opening * Rate/12)</t>
      </text>
    </comment>
    <comment ref="E42" authorId="0" shapeId="0">
      <text>
        <t>Loan: First Commonwealth, 2021 Lowboy Vin 1068838. Principal = MAX(0, MIN(Opening, Payment - Interest))</t>
      </text>
    </comment>
    <comment ref="F42" authorId="0" shapeId="0">
      <text>
        <t>Loan: First Commonwealth, 2021 Lowboy Vin 1068838. Closing = MAX(0, Opening - Principal)</t>
      </text>
    </comment>
    <comment ref="C43" authorId="0" shapeId="0">
      <text>
        <t>Loan: First Commonwealth, 2021 Lowboy Vin 1068838. Source: Meiborg_Debt_Schedule_202512.xlsx</t>
      </text>
    </comment>
    <comment ref="D43" authorId="0" shapeId="0">
      <text>
        <t>Loan: First Commonwealth, 2021 Lowboy Vin 1068838. Interest = MAX(0, Opening * Rate/12)</t>
      </text>
    </comment>
    <comment ref="E43" authorId="0" shapeId="0">
      <text>
        <t>Loan: First Commonwealth, 2021 Lowboy Vin 1068838. Principal = MAX(0, MIN(Opening, Payment - Interest))</t>
      </text>
    </comment>
    <comment ref="F43" authorId="0" shapeId="0">
      <text>
        <t>Loan: First Commonwealth, 2021 Lowboy Vin 1068838. Closing = MAX(0, Opening - Principal)</t>
      </text>
    </comment>
    <comment ref="C44" authorId="0" shapeId="0">
      <text>
        <t>Loan: First Commonwealth, 2021 Lowboy Vin 1068838. Source: Meiborg_Debt_Schedule_202512.xlsx</t>
      </text>
    </comment>
    <comment ref="D44" authorId="0" shapeId="0">
      <text>
        <t>Loan: First Commonwealth, 2021 Lowboy Vin 1068838. Interest = MAX(0, Opening * Rate/12)</t>
      </text>
    </comment>
    <comment ref="E44" authorId="0" shapeId="0">
      <text>
        <t>Loan: First Commonwealth, 2021 Lowboy Vin 1068838. Principal = MAX(0, MIN(Opening, Payment - Interest))</t>
      </text>
    </comment>
    <comment ref="F44" authorId="0" shapeId="0">
      <text>
        <t>Loan: First Commonwealth, 2021 Lowboy Vin 1068838. Closing = MAX(0, Opening - Principal)</t>
      </text>
    </comment>
    <comment ref="C45" authorId="0" shapeId="0">
      <text>
        <t>Loan: First Commonwealth, 2021 Lowboy Vin 1068838. Source: Meiborg_Debt_Schedule_202512.xlsx</t>
      </text>
    </comment>
    <comment ref="D45" authorId="0" shapeId="0">
      <text>
        <t>Loan: First Commonwealth, 2021 Lowboy Vin 1068838. Interest = MAX(0, Opening * Rate/12)</t>
      </text>
    </comment>
    <comment ref="E45" authorId="0" shapeId="0">
      <text>
        <t>Loan: First Commonwealth, 2021 Lowboy Vin 1068838. Principal = MAX(0, MIN(Opening, Payment - Interest))</t>
      </text>
    </comment>
    <comment ref="F45" authorId="0" shapeId="0">
      <text>
        <t>Loan: First Commonwealth, 2021 Lowboy Vin 1068838. Closing = MAX(0, Opening - Principal)</t>
      </text>
    </comment>
    <comment ref="C46" authorId="0" shapeId="0">
      <text>
        <t>Loan: First Commonwealth, 2021 Lowboy Vin 1068838. Source: Meiborg_Debt_Schedule_202512.xlsx</t>
      </text>
    </comment>
    <comment ref="D46" authorId="0" shapeId="0">
      <text>
        <t>Loan: First Commonwealth, 2021 Lowboy Vin 1068838. Interest = MAX(0, Opening * Rate/12)</t>
      </text>
    </comment>
    <comment ref="E46" authorId="0" shapeId="0">
      <text>
        <t>Loan: First Commonwealth, 2021 Lowboy Vin 1068838. Principal = MAX(0, MIN(Opening, Payment - Interest))</t>
      </text>
    </comment>
    <comment ref="F46" authorId="0" shapeId="0">
      <text>
        <t>Loan: First Commonwealth, 2021 Lowboy Vin 1068838. Closing = MAX(0, Opening - Principal)</t>
      </text>
    </comment>
    <comment ref="C47" authorId="0" shapeId="0">
      <text>
        <t>Loan: First Commonwealth, 2021 Lowboy Vin 1068838. Source: Meiborg_Debt_Schedule_202512.xlsx</t>
      </text>
    </comment>
    <comment ref="D47" authorId="0" shapeId="0">
      <text>
        <t>Loan: First Commonwealth, 2021 Lowboy Vin 1068838. Interest = MAX(0, Opening * Rate/12)</t>
      </text>
    </comment>
    <comment ref="E47" authorId="0" shapeId="0">
      <text>
        <t>Loan: First Commonwealth, 2021 Lowboy Vin 1068838. Principal = MAX(0, MIN(Opening, Payment - Interest))</t>
      </text>
    </comment>
    <comment ref="F47" authorId="0" shapeId="0">
      <text>
        <t>Loan: First Commonwealth, 2021 Lowboy Vin 1068838. Closing = MAX(0, Opening - Principal)</t>
      </text>
    </comment>
    <comment ref="C48" authorId="0" shapeId="0">
      <text>
        <t>Loan: First Commonwealth, 2021 Lowboy Vin 1068838. Source: Meiborg_Debt_Schedule_202512.xlsx</t>
      </text>
    </comment>
    <comment ref="D48" authorId="0" shapeId="0">
      <text>
        <t>Loan: First Commonwealth, 2021 Lowboy Vin 1068838. Interest = MAX(0, Opening * Rate/12)</t>
      </text>
    </comment>
    <comment ref="E48" authorId="0" shapeId="0">
      <text>
        <t>Loan: First Commonwealth, 2021 Lowboy Vin 1068838. Principal = MAX(0, MIN(Opening, Payment - Interest))</t>
      </text>
    </comment>
    <comment ref="F48" authorId="0" shapeId="0">
      <text>
        <t>Loan: First Commonwealth, 2021 Lowboy Vin 1068838. Closing = MAX(0, Opening - Principal)</t>
      </text>
    </comment>
    <comment ref="C49" authorId="0" shapeId="0">
      <text>
        <t>Loan: First Commonwealth, 2021 Lowboy Vin 1068838. Source: Meiborg_Debt_Schedule_202512.xlsx</t>
      </text>
    </comment>
    <comment ref="D49" authorId="0" shapeId="0">
      <text>
        <t>Loan: First Commonwealth, 2021 Lowboy Vin 1068838. Interest = MAX(0, Opening * Rate/12)</t>
      </text>
    </comment>
    <comment ref="E49" authorId="0" shapeId="0">
      <text>
        <t>Loan: First Commonwealth, 2021 Lowboy Vin 1068838. Principal = MAX(0, MIN(Opening, Payment - Interest))</t>
      </text>
    </comment>
    <comment ref="F49" authorId="0" shapeId="0">
      <text>
        <t>Loan: First Commonwealth, 2021 Lowboy Vin 1068838. Closing = MAX(0, Opening - Principal)</t>
      </text>
    </comment>
    <comment ref="C50" authorId="0" shapeId="0">
      <text>
        <t>Loan: First Commonwealth, 2021 Lowboy Vin 1068838. Source: Meiborg_Debt_Schedule_202512.xlsx</t>
      </text>
    </comment>
    <comment ref="D50" authorId="0" shapeId="0">
      <text>
        <t>Loan: First Commonwealth, 2021 Lowboy Vin 1068838. Interest = MAX(0, Opening * Rate/12)</t>
      </text>
    </comment>
    <comment ref="E50" authorId="0" shapeId="0">
      <text>
        <t>Loan: First Commonwealth, 2021 Lowboy Vin 1068838. Principal = MAX(0, MIN(Opening, Payment - Interest))</t>
      </text>
    </comment>
    <comment ref="F50" authorId="0" shapeId="0">
      <text>
        <t>Loan: First Commonwealth, 2021 Lowboy Vin 1068838. Closing = MAX(0, Opening - Principal)</t>
      </text>
    </comment>
    <comment ref="C51" authorId="0" shapeId="0">
      <text>
        <t>Loan: First Commonwealth, 2021 Lowboy Vin 1068838. Source: Meiborg_Debt_Schedule_202512.xlsx</t>
      </text>
    </comment>
    <comment ref="D51" authorId="0" shapeId="0">
      <text>
        <t>Loan: First Commonwealth, 2021 Lowboy Vin 1068838. Interest = MAX(0, Opening * Rate/12)</t>
      </text>
    </comment>
    <comment ref="E51" authorId="0" shapeId="0">
      <text>
        <t>Loan: First Commonwealth, 2021 Lowboy Vin 1068838. Principal = MAX(0, MIN(Opening, Payment - Interest))</t>
      </text>
    </comment>
    <comment ref="F51" authorId="0" shapeId="0">
      <text>
        <t>Loan: First Commonwealth, 2021 Lowboy Vin 1068838. Closing = MAX(0, Opening - Principal)</t>
      </text>
    </comment>
    <comment ref="C52" authorId="0" shapeId="0">
      <text>
        <t>Loan: First Commonwealth, 2021 Lowboy Vin 1068838. Source: Meiborg_Debt_Schedule_202512.xlsx</t>
      </text>
    </comment>
    <comment ref="D52" authorId="0" shapeId="0">
      <text>
        <t>Loan: First Commonwealth, 2021 Lowboy Vin 1068838. Interest = MAX(0, Opening * Rate/12)</t>
      </text>
    </comment>
    <comment ref="E52" authorId="0" shapeId="0">
      <text>
        <t>Loan: First Commonwealth, 2021 Lowboy Vin 1068838. Principal = MAX(0, MIN(Opening, Payment - Interest))</t>
      </text>
    </comment>
    <comment ref="F52" authorId="0" shapeId="0">
      <text>
        <t>Loan: First Commonwealth, 2021 Lowboy Vin 1068838. Closing = MAX(0, Opening - Principal)</t>
      </text>
    </comment>
    <comment ref="C53" authorId="0" shapeId="0">
      <text>
        <t>Loan: First Commonwealth, 2021 Lowboy Vin 1068838. Source: Meiborg_Debt_Schedule_202512.xlsx</t>
      </text>
    </comment>
    <comment ref="D53" authorId="0" shapeId="0">
      <text>
        <t>Loan: First Commonwealth, 2021 Lowboy Vin 1068838. Interest = MAX(0, Opening * Rate/12)</t>
      </text>
    </comment>
    <comment ref="E53" authorId="0" shapeId="0">
      <text>
        <t>Loan: First Commonwealth, 2021 Lowboy Vin 1068838. Principal = MAX(0, MIN(Opening, Payment - Interest))</t>
      </text>
    </comment>
    <comment ref="F53" authorId="0" shapeId="0">
      <text>
        <t>Loan: First Commonwealth, 2021 Lowboy Vin 1068838. Closing = MAX(0, Opening - Principal)</t>
      </text>
    </comment>
    <comment ref="C54" authorId="0" shapeId="0">
      <text>
        <t>Loan: First Commonwealth, 2021 Lowboy Vin 1068838. Source: Meiborg_Debt_Schedule_202512.xlsx</t>
      </text>
    </comment>
    <comment ref="D54" authorId="0" shapeId="0">
      <text>
        <t>Loan: First Commonwealth, 2021 Lowboy Vin 1068838. Interest = MAX(0, Opening * Rate/12)</t>
      </text>
    </comment>
    <comment ref="E54" authorId="0" shapeId="0">
      <text>
        <t>Loan: First Commonwealth, 2021 Lowboy Vin 1068838. Principal = MAX(0, MIN(Opening, Payment - Interest))</t>
      </text>
    </comment>
    <comment ref="F54" authorId="0" shapeId="0">
      <text>
        <t>Loan: First Commonwealth, 2021 Lowboy Vin 1068838. Closing = MAX(0, Opening - Principal)</t>
      </text>
    </comment>
    <comment ref="C55" authorId="0" shapeId="0">
      <text>
        <t>Loan: First Commonwealth, 2021 Lowboy Vin 1068838. Source: Meiborg_Debt_Schedule_202512.xlsx</t>
      </text>
    </comment>
    <comment ref="D55" authorId="0" shapeId="0">
      <text>
        <t>Loan: First Commonwealth, 2021 Lowboy Vin 1068838. Interest = MAX(0, Opening * Rate/12)</t>
      </text>
    </comment>
    <comment ref="E55" authorId="0" shapeId="0">
      <text>
        <t>Loan: First Commonwealth, 2021 Lowboy Vin 1068838. Principal = MAX(0, MIN(Opening, Payment - Interest))</t>
      </text>
    </comment>
    <comment ref="F55" authorId="0" shapeId="0">
      <text>
        <t>Loan: First Commonwealth, 2021 Lowboy Vin 1068838. Closing = MAX(0, Opening - Principal)</t>
      </text>
    </comment>
    <comment ref="C56" authorId="0" shapeId="0">
      <text>
        <t>Loan: First Commonwealth, 2021 Lowboy Vin 1068838. Source: Meiborg_Debt_Schedule_202512.xlsx</t>
      </text>
    </comment>
    <comment ref="D56" authorId="0" shapeId="0">
      <text>
        <t>Loan: First Commonwealth, 2021 Lowboy Vin 1068838. Interest = MAX(0, Opening * Rate/12)</t>
      </text>
    </comment>
    <comment ref="E56" authorId="0" shapeId="0">
      <text>
        <t>Loan: First Commonwealth, 2021 Lowboy Vin 1068838. Principal = MAX(0, MIN(Opening, Payment - Interest))</t>
      </text>
    </comment>
    <comment ref="F56" authorId="0" shapeId="0">
      <text>
        <t>Loan: First Commonwealth, 2021 Lowboy Vin 1068838. Closing = MAX(0, Opening - Principal)</t>
      </text>
    </comment>
    <comment ref="C57" authorId="0" shapeId="0">
      <text>
        <t>Loan: First Commonwealth, 2021 Lowboy Vin 1068838. Source: Meiborg_Debt_Schedule_202512.xlsx</t>
      </text>
    </comment>
    <comment ref="D57" authorId="0" shapeId="0">
      <text>
        <t>Loan: First Commonwealth, 2021 Lowboy Vin 1068838. Interest = MAX(0, Opening * Rate/12)</t>
      </text>
    </comment>
    <comment ref="E57" authorId="0" shapeId="0">
      <text>
        <t>Loan: First Commonwealth, 2021 Lowboy Vin 1068838. Principal = MAX(0, MIN(Opening, Payment - Interest))</t>
      </text>
    </comment>
    <comment ref="F57" authorId="0" shapeId="0">
      <text>
        <t>Loan: First Commonwealth, 2021 Lowboy Vin 1068838. Closing = MAX(0, Opening - Principal)</t>
      </text>
    </comment>
    <comment ref="C58" authorId="0" shapeId="0">
      <text>
        <t>Loan: First Commonwealth, 2021 Lowboy Vin 1068838. Source: Meiborg_Debt_Schedule_202512.xlsx</t>
      </text>
    </comment>
    <comment ref="D58" authorId="0" shapeId="0">
      <text>
        <t>Loan: First Commonwealth, 2021 Lowboy Vin 1068838. Interest = MAX(0, Opening * Rate/12)</t>
      </text>
    </comment>
    <comment ref="E58" authorId="0" shapeId="0">
      <text>
        <t>Loan: First Commonwealth, 2021 Lowboy Vin 1068838. Principal = MAX(0, MIN(Opening, Payment - Interest))</t>
      </text>
    </comment>
    <comment ref="F58" authorId="0" shapeId="0">
      <text>
        <t>Loan: First Commonwealth, 2021 Lowboy Vin 1068838. Closing = MAX(0, Opening - Principal)</t>
      </text>
    </comment>
    <comment ref="C59" authorId="0" shapeId="0">
      <text>
        <t>Loan: First Commonwealth, 2021 Lowboy Vin 1068838. Source: Meiborg_Debt_Schedule_202512.xlsx</t>
      </text>
    </comment>
    <comment ref="D59" authorId="0" shapeId="0">
      <text>
        <t>Loan: First Commonwealth, 2021 Lowboy Vin 1068838. Interest = MAX(0, Opening * Rate/12)</t>
      </text>
    </comment>
    <comment ref="E59" authorId="0" shapeId="0">
      <text>
        <t>Loan: First Commonwealth, 2021 Lowboy Vin 1068838. Principal = MAX(0, MIN(Opening, Payment - Interest))</t>
      </text>
    </comment>
    <comment ref="F59" authorId="0" shapeId="0">
      <text>
        <t>Loan: First Commonwealth, 2021 Lowboy Vin 1068838. Closing = MAX(0, Opening - Principal)</t>
      </text>
    </comment>
    <comment ref="C60" authorId="0" shapeId="0">
      <text>
        <t>Loan: First Commonwealth, 2021 Lowboy Vin 1068838. Source: Meiborg_Debt_Schedule_202512.xlsx</t>
      </text>
    </comment>
    <comment ref="D60" authorId="0" shapeId="0">
      <text>
        <t>Loan: First Commonwealth, 2021 Lowboy Vin 1068838. Interest = MAX(0, Opening * Rate/12)</t>
      </text>
    </comment>
    <comment ref="E60" authorId="0" shapeId="0">
      <text>
        <t>Loan: First Commonwealth, 2021 Lowboy Vin 1068838. Principal = MAX(0, MIN(Opening, Payment - Interest))</t>
      </text>
    </comment>
    <comment ref="F60" authorId="0" shapeId="0">
      <text>
        <t>Loan: First Commonwealth, 2021 Lowboy Vin 1068838. Closing = MAX(0, Opening - Principal)</t>
      </text>
    </comment>
    <comment ref="C61" authorId="0" shapeId="0">
      <text>
        <t>Loan: First Commonwealth, 2021 Lowboy Vin 1068838. Source: Meiborg_Debt_Schedule_202512.xlsx</t>
      </text>
    </comment>
    <comment ref="D61" authorId="0" shapeId="0">
      <text>
        <t>Loan: First Commonwealth, 2021 Lowboy Vin 1068838. Interest = MAX(0, Opening * Rate/12)</t>
      </text>
    </comment>
    <comment ref="E61" authorId="0" shapeId="0">
      <text>
        <t>Loan: First Commonwealth, 2021 Lowboy Vin 1068838. Principal = MAX(0, MIN(Opening, Payment - Interest))</t>
      </text>
    </comment>
    <comment ref="F61" authorId="0" shapeId="0">
      <text>
        <t>Loan: First Commonwealth, 2021 Lowboy Vin 1068838. Closing = MAX(0, Opening - Principal)</t>
      </text>
    </comment>
    <comment ref="C62" authorId="0" shapeId="0">
      <text>
        <t>Loan: First Commonwealth, 2021 Lowboy Vin 1068838. Source: Meiborg_Debt_Schedule_202512.xlsx</t>
      </text>
    </comment>
    <comment ref="D62" authorId="0" shapeId="0">
      <text>
        <t>Loan: First Commonwealth, 2021 Lowboy Vin 1068838. Interest = MAX(0, Opening * Rate/12)</t>
      </text>
    </comment>
    <comment ref="E62" authorId="0" shapeId="0">
      <text>
        <t>Loan: First Commonwealth, 2021 Lowboy Vin 1068838. Principal = MAX(0, MIN(Opening, Payment - Interest))</t>
      </text>
    </comment>
    <comment ref="F62" authorId="0" shapeId="0">
      <text>
        <t>Loan: First Commonwealth, 2021 Lowboy Vin 1068838. Closing = MAX(0, Opening - Principal)</t>
      </text>
    </comment>
    <comment ref="C63" authorId="0" shapeId="0">
      <text>
        <t>Loan: First Commonwealth, 2021 Lowboy Vin 1068838. Source: Meiborg_Debt_Schedule_202512.xlsx</t>
      </text>
    </comment>
    <comment ref="D63" authorId="0" shapeId="0">
      <text>
        <t>Loan: First Commonwealth, 2021 Lowboy Vin 1068838. Interest = MAX(0, Opening * Rate/12)</t>
      </text>
    </comment>
    <comment ref="E63" authorId="0" shapeId="0">
      <text>
        <t>Loan: First Commonwealth, 2021 Lowboy Vin 1068838. Principal = MAX(0, MIN(Opening, Payment - Interest))</t>
      </text>
    </comment>
    <comment ref="F63" authorId="0" shapeId="0">
      <text>
        <t>Loan: First Commonwealth, 2021 Lowboy Vin 1068838. Closing = MAX(0, Opening - Principal)</t>
      </text>
    </comment>
    <comment ref="C64" authorId="0" shapeId="0">
      <text>
        <t>Loan: First Commonwealth, 2021 Lowboy Vin 1068838. Source: Meiborg_Debt_Schedule_202512.xlsx</t>
      </text>
    </comment>
    <comment ref="D64" authorId="0" shapeId="0">
      <text>
        <t>Loan: First Commonwealth, 2021 Lowboy Vin 1068838. Interest = MAX(0, Opening * Rate/12)</t>
      </text>
    </comment>
    <comment ref="E64" authorId="0" shapeId="0">
      <text>
        <t>Loan: First Commonwealth, 2021 Lowboy Vin 1068838. Principal = MAX(0, MIN(Opening, Payment - Interest))</t>
      </text>
    </comment>
    <comment ref="F64" authorId="0" shapeId="0">
      <text>
        <t>Loan: First Commonwealth, 2021 Lowboy Vin 1068838. Closing = MAX(0, Opening - Principal)</t>
      </text>
    </comment>
    <comment ref="C65" authorId="0" shapeId="0">
      <text>
        <t>Loan: First Commonwealth, 2021 Lowboy Vin 1068838. Source: Meiborg_Debt_Schedule_202512.xlsx</t>
      </text>
    </comment>
    <comment ref="D65" authorId="0" shapeId="0">
      <text>
        <t>Loan: First Commonwealth, 2021 Lowboy Vin 1068838. Interest = MAX(0, Opening * Rate/12)</t>
      </text>
    </comment>
    <comment ref="E65" authorId="0" shapeId="0">
      <text>
        <t>Loan: First Commonwealth, 2021 Lowboy Vin 1068838. Principal = MAX(0, MIN(Opening, Payment - Interest))</t>
      </text>
    </comment>
    <comment ref="F65" authorId="0" shapeId="0">
      <text>
        <t>Loan: First Commonwealth, 2021 Lowboy Vin 1068838. Closing = MAX(0, Opening - Principal)</t>
      </text>
    </comment>
    <comment ref="C66" authorId="0" shapeId="0">
      <text>
        <t>Loan: First Commonwealth, 2021 Lowboy Vin 1068838. Source: Meiborg_Debt_Schedule_202512.xlsx</t>
      </text>
    </comment>
    <comment ref="D66" authorId="0" shapeId="0">
      <text>
        <t>Loan: First Commonwealth, 2021 Lowboy Vin 1068838. Interest = MAX(0, Opening * Rate/12)</t>
      </text>
    </comment>
    <comment ref="E66" authorId="0" shapeId="0">
      <text>
        <t>Loan: First Commonwealth, 2021 Lowboy Vin 1068838. Principal = MAX(0, MIN(Opening, Payment - Interest))</t>
      </text>
    </comment>
    <comment ref="F66" authorId="0" shapeId="0">
      <text>
        <t>Loan: First Commonwealth, 2021 Lowboy Vin 1068838. Closing = MAX(0, Opening - Principal)</t>
      </text>
    </comment>
    <comment ref="C67" authorId="0" shapeId="0">
      <text>
        <t>Loan: First Commonwealth, 2021 Lowboy Vin 1068838. Source: Meiborg_Debt_Schedule_202512.xlsx</t>
      </text>
    </comment>
    <comment ref="D67" authorId="0" shapeId="0">
      <text>
        <t>Loan: First Commonwealth, 2021 Lowboy Vin 1068838. Interest = MAX(0, Opening * Rate/12)</t>
      </text>
    </comment>
    <comment ref="E67" authorId="0" shapeId="0">
      <text>
        <t>Loan: First Commonwealth, 2021 Lowboy Vin 1068838. Principal = MAX(0, MIN(Opening, Payment - Interest))</t>
      </text>
    </comment>
    <comment ref="F67" authorId="0" shapeId="0">
      <text>
        <t>Loan: First Commonwealth, 2021 Lowboy Vin 1068838. Closing = MAX(0, Opening - Principal)</t>
      </text>
    </comment>
    <comment ref="C68" authorId="0" shapeId="0">
      <text>
        <t>Loan: First Commonwealth, 2021 Lowboy Vin 1068838. Source: Meiborg_Debt_Schedule_202512.xlsx</t>
      </text>
    </comment>
    <comment ref="D68" authorId="0" shapeId="0">
      <text>
        <t>Loan: First Commonwealth, 2021 Lowboy Vin 1068838. Interest = MAX(0, Opening * Rate/12)</t>
      </text>
    </comment>
    <comment ref="E68" authorId="0" shapeId="0">
      <text>
        <t>Loan: First Commonwealth, 2021 Lowboy Vin 1068838. Principal = MAX(0, MIN(Opening, Payment - Interest))</t>
      </text>
    </comment>
    <comment ref="F68" authorId="0" shapeId="0">
      <text>
        <t>Loan: First Commonwealth, 2021 Lowboy Vin 1068838. Closing = MAX(0, Opening - Principal)</t>
      </text>
    </comment>
    <comment ref="C69" authorId="0" shapeId="0">
      <text>
        <t>Loan: First Commonwealth, 2021 Lowboy Vin 1068838. Source: Meiborg_Debt_Schedule_202512.xlsx</t>
      </text>
    </comment>
    <comment ref="D69" authorId="0" shapeId="0">
      <text>
        <t>Loan: First Commonwealth, 2021 Lowboy Vin 1068838. Interest = MAX(0, Opening * Rate/12)</t>
      </text>
    </comment>
    <comment ref="E69" authorId="0" shapeId="0">
      <text>
        <t>Loan: First Commonwealth, 2021 Lowboy Vin 1068838. Principal = MAX(0, MIN(Opening, Payment - Interest))</t>
      </text>
    </comment>
    <comment ref="F69" authorId="0" shapeId="0">
      <text>
        <t>Loan: First Commonwealth, 2021 Lowboy Vin 1068838. Closing = MAX(0, Opening - Principal)</t>
      </text>
    </comment>
    <comment ref="C70" authorId="0" shapeId="0">
      <text>
        <t>Loan: First Commonwealth, 2021 Lowboy Vin 1068838. Source: Meiborg_Debt_Schedule_202512.xlsx</t>
      </text>
    </comment>
    <comment ref="D70" authorId="0" shapeId="0">
      <text>
        <t>Loan: First Commonwealth, 2021 Lowboy Vin 1068838. Interest = MAX(0, Opening * Rate/12)</t>
      </text>
    </comment>
    <comment ref="E70" authorId="0" shapeId="0">
      <text>
        <t>Loan: First Commonwealth, 2021 Lowboy Vin 1068838. Principal = MAX(0, MIN(Opening, Payment - Interest))</t>
      </text>
    </comment>
    <comment ref="F70" authorId="0" shapeId="0">
      <text>
        <t>Loan: First Commonwealth, 2021 Lowboy Vin 1068838. Closing = MAX(0, Opening - Principal)</t>
      </text>
    </comment>
    <comment ref="C71" authorId="0" shapeId="0">
      <text>
        <t>Loan: First Commonwealth, 2021 Lowboy Vin 1068838. Source: Meiborg_Debt_Schedule_202512.xlsx</t>
      </text>
    </comment>
    <comment ref="D71" authorId="0" shapeId="0">
      <text>
        <t>Loan: First Commonwealth, 2021 Lowboy Vin 1068838. Interest = MAX(0, Opening * Rate/12)</t>
      </text>
    </comment>
    <comment ref="E71" authorId="0" shapeId="0">
      <text>
        <t>Loan: First Commonwealth, 2021 Lowboy Vin 1068838. Principal = MAX(0, MIN(Opening, Payment - Interest))</t>
      </text>
    </comment>
    <comment ref="F71" authorId="0" shapeId="0">
      <text>
        <t>Loan: First Commonwealth, 2021 Lowboy Vin 1068838. Closing = MAX(0, Opening - Principal)</t>
      </text>
    </comment>
    <comment ref="C72" authorId="0" shapeId="0">
      <text>
        <t>Loan: First Commonwealth, 2021 Lowboy Vin 1068838. Source: Meiborg_Debt_Schedule_202512.xlsx</t>
      </text>
    </comment>
    <comment ref="D72" authorId="0" shapeId="0">
      <text>
        <t>Loan: First Commonwealth, 2021 Lowboy Vin 1068838. Interest = MAX(0, Opening * Rate/12)</t>
      </text>
    </comment>
    <comment ref="E72" authorId="0" shapeId="0">
      <text>
        <t>Loan: First Commonwealth, 2021 Lowboy Vin 1068838. Principal = MAX(0, MIN(Opening, Payment - Interest))</t>
      </text>
    </comment>
    <comment ref="F72" authorId="0" shapeId="0">
      <text>
        <t>Loan: First Commonwealth, 2021 Lowboy Vin 1068838. Closing = MAX(0, Opening - Principal)</t>
      </text>
    </comment>
    <comment ref="C73" authorId="0" shapeId="0">
      <text>
        <t>Loan: First Commonwealth, 2021 Lowboy Vin 1068838. Source: Meiborg_Debt_Schedule_202512.xlsx</t>
      </text>
    </comment>
    <comment ref="D73" authorId="0" shapeId="0">
      <text>
        <t>Loan: First Commonwealth, 2021 Lowboy Vin 1068838. Interest = MAX(0, Opening * Rate/12)</t>
      </text>
    </comment>
    <comment ref="E73" authorId="0" shapeId="0">
      <text>
        <t>Loan: First Commonwealth, 2021 Lowboy Vin 1068838. Principal = MAX(0, MIN(Opening, Payment - Interest))</t>
      </text>
    </comment>
    <comment ref="F73" authorId="0" shapeId="0">
      <text>
        <t>Loan: First Commonwealth, 2021 Lowboy Vin 1068838. Closing = MAX(0, Opening - Principal)</t>
      </text>
    </comment>
    <comment ref="C74" authorId="0" shapeId="0">
      <text>
        <t>Loan: First Commonwealth, 2021 Lowboy Vin 1068838. Source: Meiborg_Debt_Schedule_202512.xlsx</t>
      </text>
    </comment>
    <comment ref="D74" authorId="0" shapeId="0">
      <text>
        <t>Loan: First Commonwealth, 2021 Lowboy Vin 1068838. Interest = MAX(0, Opening * Rate/12)</t>
      </text>
    </comment>
    <comment ref="E74" authorId="0" shapeId="0">
      <text>
        <t>Loan: First Commonwealth, 2021 Lowboy Vin 1068838. Principal = MAX(0, MIN(Opening, Payment - Interest))</t>
      </text>
    </comment>
    <comment ref="F74" authorId="0" shapeId="0">
      <text>
        <t>Loan: First Commonwealth, 2021 Lowboy Vin 1068838. Closing = MAX(0, Opening - Principal)</t>
      </text>
    </comment>
    <comment ref="C75" authorId="0" shapeId="0">
      <text>
        <t>Loan: First Commonwealth, 2021 Lowboy Vin 1068838. Source: Meiborg_Debt_Schedule_202512.xlsx</t>
      </text>
    </comment>
    <comment ref="D75" authorId="0" shapeId="0">
      <text>
        <t>Loan: First Commonwealth, 2021 Lowboy Vin 1068838. Interest = MAX(0, Opening * Rate/12)</t>
      </text>
    </comment>
    <comment ref="E75" authorId="0" shapeId="0">
      <text>
        <t>Loan: First Commonwealth, 2021 Lowboy Vin 1068838. Principal = MAX(0, MIN(Opening, Payment - Interest))</t>
      </text>
    </comment>
    <comment ref="F75" authorId="0" shapeId="0">
      <text>
        <t>Loan: First Commonwealth, 2021 Lowboy Vin 1068838. Closing = MAX(0, Opening - Principal)</t>
      </text>
    </comment>
    <comment ref="C76" authorId="0" shapeId="0">
      <text>
        <t>Loan: First Commonwealth, 2021 Lowboy Vin 1068838. Source: Meiborg_Debt_Schedule_202512.xlsx</t>
      </text>
    </comment>
    <comment ref="D76" authorId="0" shapeId="0">
      <text>
        <t>Loan: First Commonwealth, 2021 Lowboy Vin 1068838. Interest = MAX(0, Opening * Rate/12)</t>
      </text>
    </comment>
    <comment ref="E76" authorId="0" shapeId="0">
      <text>
        <t>Loan: First Commonwealth, 2021 Lowboy Vin 1068838. Principal = MAX(0, MIN(Opening, Payment - Interest))</t>
      </text>
    </comment>
    <comment ref="F76" authorId="0" shapeId="0">
      <text>
        <t>Loan: First Commonwealth, 2021 Lowboy Vin 1068838. Closing = MAX(0, Opening - Principal)</t>
      </text>
    </comment>
    <comment ref="C77" authorId="0" shapeId="0">
      <text>
        <t>Loan: First Commonwealth, 2021 Lowboy Vin 1068838. Source: Meiborg_Debt_Schedule_202512.xlsx</t>
      </text>
    </comment>
    <comment ref="D77" authorId="0" shapeId="0">
      <text>
        <t>Loan: First Commonwealth, 2021 Lowboy Vin 1068838. Interest = MAX(0, Opening * Rate/12)</t>
      </text>
    </comment>
    <comment ref="E77" authorId="0" shapeId="0">
      <text>
        <t>Loan: First Commonwealth, 2021 Lowboy Vin 1068838. Principal = MAX(0, MIN(Opening, Payment - Interest))</t>
      </text>
    </comment>
    <comment ref="F77" authorId="0" shapeId="0">
      <text>
        <t>Loan: First Commonwealth, 2021 Lowboy Vin 1068838. Closing = MAX(0, Opening - Principal)</t>
      </text>
    </comment>
    <comment ref="C78" authorId="0" shapeId="0">
      <text>
        <t>Loan: First Commonwealth, 2021 Lowboy Vin 1068838. Source: Meiborg_Debt_Schedule_202512.xlsx</t>
      </text>
    </comment>
    <comment ref="D78" authorId="0" shapeId="0">
      <text>
        <t>Loan: First Commonwealth, 2021 Lowboy Vin 1068838. Interest = MAX(0, Opening * Rate/12)</t>
      </text>
    </comment>
    <comment ref="E78" authorId="0" shapeId="0">
      <text>
        <t>Loan: First Commonwealth, 2021 Lowboy Vin 1068838. Principal = MAX(0, MIN(Opening, Payment - Interest))</t>
      </text>
    </comment>
    <comment ref="F78" authorId="0" shapeId="0">
      <text>
        <t>Loan: First Commonwealth, 2021 Lowboy Vin 1068838. Closing = MAX(0, Opening - Principal)</t>
      </text>
    </comment>
    <comment ref="C79" authorId="0" shapeId="0">
      <text>
        <t>Loan: First Commonwealth, 2021 Lowboy Vin 1068838. Source: Meiborg_Debt_Schedule_202512.xlsx</t>
      </text>
    </comment>
    <comment ref="D79" authorId="0" shapeId="0">
      <text>
        <t>Loan: First Commonwealth, 2021 Lowboy Vin 1068838. Interest = MAX(0, Opening * Rate/12)</t>
      </text>
    </comment>
    <comment ref="E79" authorId="0" shapeId="0">
      <text>
        <t>Loan: First Commonwealth, 2021 Lowboy Vin 1068838. Principal = MAX(0, MIN(Opening, Payment - Interest))</t>
      </text>
    </comment>
    <comment ref="F79" authorId="0" shapeId="0">
      <text>
        <t>Loan: First Commonwealth, 2021 Lowboy Vin 1068838. Closing = MAX(0, Opening - Principal)</t>
      </text>
    </comment>
    <comment ref="C80" authorId="0" shapeId="0">
      <text>
        <t>Loan: First Commonwealth, 2021 Lowboy Vin 1068838. Source: Meiborg_Debt_Schedule_202512.xlsx</t>
      </text>
    </comment>
    <comment ref="D80" authorId="0" shapeId="0">
      <text>
        <t>Loan: First Commonwealth, 2021 Lowboy Vin 1068838. Interest = MAX(0, Opening * Rate/12)</t>
      </text>
    </comment>
    <comment ref="E80" authorId="0" shapeId="0">
      <text>
        <t>Loan: First Commonwealth, 2021 Lowboy Vin 1068838. Principal = MAX(0, MIN(Opening, Payment - Interest))</t>
      </text>
    </comment>
    <comment ref="F80" authorId="0" shapeId="0">
      <text>
        <t>Loan: First Commonwealth, 2021 Lowboy Vin 1068838. Closing = MAX(0, Opening - Principal)</t>
      </text>
    </comment>
    <comment ref="C81" authorId="0" shapeId="0">
      <text>
        <t>Loan: First Commonwealth, 2021 Lowboy Vin 1068838. Source: Meiborg_Debt_Schedule_202512.xlsx</t>
      </text>
    </comment>
    <comment ref="D81" authorId="0" shapeId="0">
      <text>
        <t>Loan: First Commonwealth, 2021 Lowboy Vin 1068838. Interest = MAX(0, Opening * Rate/12)</t>
      </text>
    </comment>
    <comment ref="E81" authorId="0" shapeId="0">
      <text>
        <t>Loan: First Commonwealth, 2021 Lowboy Vin 1068838. Principal = MAX(0, MIN(Opening, Payment - Interest))</t>
      </text>
    </comment>
    <comment ref="F81" authorId="0" shapeId="0">
      <text>
        <t>Loan: First Commonwealth, 2021 Lowboy Vin 1068838. Closing = MAX(0, Opening - Principal)</t>
      </text>
    </comment>
    <comment ref="C82" authorId="0" shapeId="0">
      <text>
        <t>Loan: First Commonwealth, 2021 Lowboy Vin 1068838. Source: Meiborg_Debt_Schedule_202512.xlsx</t>
      </text>
    </comment>
    <comment ref="D82" authorId="0" shapeId="0">
      <text>
        <t>Loan: First Commonwealth, 2021 Lowboy Vin 1068838. Interest = MAX(0, Opening * Rate/12)</t>
      </text>
    </comment>
    <comment ref="E82" authorId="0" shapeId="0">
      <text>
        <t>Loan: First Commonwealth, 2021 Lowboy Vin 1068838. Principal = MAX(0, MIN(Opening, Payment - Interest))</t>
      </text>
    </comment>
    <comment ref="F82" authorId="0" shapeId="0">
      <text>
        <t>Loan: First Commonwealth, 2021 Lowboy Vin 1068838. Closing = MAX(0, Opening - Principal)</t>
      </text>
    </comment>
    <comment ref="C83" authorId="0" shapeId="0">
      <text>
        <t>Loan: First Commonwealth, 2021 Lowboy Vin 1068838. Source: Meiborg_Debt_Schedule_202512.xlsx</t>
      </text>
    </comment>
    <comment ref="D83" authorId="0" shapeId="0">
      <text>
        <t>Loan: First Commonwealth, 2021 Lowboy Vin 1068838. Interest = MAX(0, Opening * Rate/12)</t>
      </text>
    </comment>
    <comment ref="E83" authorId="0" shapeId="0">
      <text>
        <t>Loan: First Commonwealth, 2021 Lowboy Vin 1068838. Principal = MAX(0, MIN(Opening, Payment - Interest))</t>
      </text>
    </comment>
    <comment ref="F83" authorId="0" shapeId="0">
      <text>
        <t>Loan: First Commonwealth, 2021 Lowboy Vin 1068838. Closing = MAX(0, Opening - Principal)</t>
      </text>
    </comment>
    <comment ref="C84" authorId="0" shapeId="0">
      <text>
        <t>Loan: First Commonwealth, 2021 Lowboy Vin 1068838. Source: Meiborg_Debt_Schedule_202512.xlsx</t>
      </text>
    </comment>
    <comment ref="D84" authorId="0" shapeId="0">
      <text>
        <t>Loan: First Commonwealth, 2021 Lowboy Vin 1068838. Interest = MAX(0, Opening * Rate/12)</t>
      </text>
    </comment>
    <comment ref="E84" authorId="0" shapeId="0">
      <text>
        <t>Loan: First Commonwealth, 2021 Lowboy Vin 1068838. Principal = MAX(0, MIN(Opening, Payment - Interest))</t>
      </text>
    </comment>
    <comment ref="F84" authorId="0" shapeId="0">
      <text>
        <t>Loan: First Commonwealth, 2021 Lowboy Vin 1068838. Closing = MAX(0, Opening - Principal)</t>
      </text>
    </comment>
    <comment ref="C85" authorId="0" shapeId="0">
      <text>
        <t>Loan: First Commonwealth, 2021 Lowboy Vin 1068838. Source: Meiborg_Debt_Schedule_202512.xlsx</t>
      </text>
    </comment>
    <comment ref="D85" authorId="0" shapeId="0">
      <text>
        <t>Loan: First Commonwealth, 2021 Lowboy Vin 1068838. Interest = MAX(0, Opening * Rate/12)</t>
      </text>
    </comment>
    <comment ref="E85" authorId="0" shapeId="0">
      <text>
        <t>Loan: First Commonwealth, 2021 Lowboy Vin 1068838. Principal = MAX(0, MIN(Opening, Payment - Interest))</t>
      </text>
    </comment>
    <comment ref="F85" authorId="0" shapeId="0">
      <text>
        <t>Loan: First Commonwealth, 2021 Lowboy Vin 1068838. Closing = MAX(0, Opening - Principal)</t>
      </text>
    </comment>
    <comment ref="C86" authorId="0" shapeId="0">
      <text>
        <t>Loan: First Commonwealth, 2021 Lowboy Vin 1068838. Source: Meiborg_Debt_Schedule_202512.xlsx</t>
      </text>
    </comment>
    <comment ref="D86" authorId="0" shapeId="0">
      <text>
        <t>Loan: First Commonwealth, 2021 Lowboy Vin 1068838. Interest = MAX(0, Opening * Rate/12)</t>
      </text>
    </comment>
    <comment ref="E86" authorId="0" shapeId="0">
      <text>
        <t>Loan: First Commonwealth, 2021 Lowboy Vin 1068838. Principal = MAX(0, MIN(Opening, Payment - Interest))</t>
      </text>
    </comment>
    <comment ref="F86" authorId="0" shapeId="0">
      <text>
        <t>Loan: First Commonwealth, 2021 Lowboy Vin 1068838. Closing = MAX(0, Opening - Principal)</t>
      </text>
    </comment>
    <comment ref="C87" authorId="0" shapeId="0">
      <text>
        <t>Loan: First Commonwealth, 2021 Lowboy Vin 1068838. Source: Meiborg_Debt_Schedule_202512.xlsx</t>
      </text>
    </comment>
    <comment ref="D87" authorId="0" shapeId="0">
      <text>
        <t>Loan: First Commonwealth, 2021 Lowboy Vin 1068838. Interest = MAX(0, Opening * Rate/12)</t>
      </text>
    </comment>
    <comment ref="E87" authorId="0" shapeId="0">
      <text>
        <t>Loan: First Commonwealth, 2021 Lowboy Vin 1068838. Principal = MAX(0, MIN(Opening, Payment - Interest))</t>
      </text>
    </comment>
    <comment ref="F87" authorId="0" shapeId="0">
      <text>
        <t>Loan: First Commonwealth, 2021 Lowboy Vin 1068838. Closing = MAX(0, Opening - Principal)</t>
      </text>
    </comment>
    <comment ref="C88" authorId="0" shapeId="0">
      <text>
        <t>Loan: First Commonwealth, 2021 Lowboy Vin 1068838. Source: Meiborg_Debt_Schedule_202512.xlsx</t>
      </text>
    </comment>
    <comment ref="D88" authorId="0" shapeId="0">
      <text>
        <t>Loan: First Commonwealth, 2021 Lowboy Vin 1068838. Interest = MAX(0, Opening * Rate/12)</t>
      </text>
    </comment>
    <comment ref="E88" authorId="0" shapeId="0">
      <text>
        <t>Loan: First Commonwealth, 2021 Lowboy Vin 1068838. Principal = MAX(0, MIN(Opening, Payment - Interest))</t>
      </text>
    </comment>
    <comment ref="F88" authorId="0" shapeId="0">
      <text>
        <t>Loan: First Commonwealth, 2021 Lowboy Vin 1068838. Closing = MAX(0, Opening - Principal)</t>
      </text>
    </comment>
    <comment ref="C89" authorId="0" shapeId="0">
      <text>
        <t>Loan: First Commonwealth, 2021 Lowboy Vin 1068838. Source: Meiborg_Debt_Schedule_202512.xlsx</t>
      </text>
    </comment>
    <comment ref="D89" authorId="0" shapeId="0">
      <text>
        <t>Loan: First Commonwealth, 2021 Lowboy Vin 1068838. Interest = MAX(0, Opening * Rate/12)</t>
      </text>
    </comment>
    <comment ref="E89" authorId="0" shapeId="0">
      <text>
        <t>Loan: First Commonwealth, 2021 Lowboy Vin 1068838. Principal = MAX(0, MIN(Opening, Payment - Interest))</t>
      </text>
    </comment>
    <comment ref="F89" authorId="0" shapeId="0">
      <text>
        <t>Loan: First Commonwealth, 2021 Lowboy Vin 1068838. Closing = MAX(0, Opening - Principal)</t>
      </text>
    </comment>
    <comment ref="C90" authorId="0" shapeId="0">
      <text>
        <t>Loan: First Commonwealth, 2021 Lowboy Vin 1068838. Source: Meiborg_Debt_Schedule_202512.xlsx</t>
      </text>
    </comment>
    <comment ref="D90" authorId="0" shapeId="0">
      <text>
        <t>Loan: First Commonwealth, 2021 Lowboy Vin 1068838. Interest = MAX(0, Opening * Rate/12)</t>
      </text>
    </comment>
    <comment ref="E90" authorId="0" shapeId="0">
      <text>
        <t>Loan: First Commonwealth, 2021 Lowboy Vin 1068838. Principal = MAX(0, MIN(Opening, Payment - Interest))</t>
      </text>
    </comment>
    <comment ref="F90" authorId="0" shapeId="0">
      <text>
        <t>Loan: First Commonwealth, 2021 Lowboy Vin 1068838. Closing = MAX(0, Opening - Principal)</t>
      </text>
    </comment>
    <comment ref="C94" authorId="0" shapeId="0">
      <text>
        <t>Sum of rows 18-29: Annual opening balance for 2026</t>
      </text>
    </comment>
    <comment ref="D94" authorId="0" shapeId="0">
      <text>
        <t>Sum of rows 18-29: Annual interest for 2026</t>
      </text>
    </comment>
    <comment ref="E94" authorId="0" shapeId="0">
      <text>
        <t>Sum of rows 18-29: Annual principal for 2026</t>
      </text>
    </comment>
    <comment ref="F94" authorId="0" shapeId="0">
      <text>
        <t>Sum of rows 18-29: Annual closing balance for 2026</t>
      </text>
    </comment>
    <comment ref="C95" authorId="0" shapeId="0">
      <text>
        <t>Sum of rows 30-41: Annual opening balance for 2027</t>
      </text>
    </comment>
    <comment ref="D95" authorId="0" shapeId="0">
      <text>
        <t>Sum of rows 30-41: Annual interest for 2027</t>
      </text>
    </comment>
    <comment ref="E95" authorId="0" shapeId="0">
      <text>
        <t>Sum of rows 30-41: Annual principal for 2027</t>
      </text>
    </comment>
    <comment ref="F95" authorId="0" shapeId="0">
      <text>
        <t>Sum of rows 30-41: Annual closing balance for 2027</t>
      </text>
    </comment>
    <comment ref="C96" authorId="0" shapeId="0">
      <text>
        <t>Sum of rows 42-53: Annual opening balance for 2028</t>
      </text>
    </comment>
    <comment ref="D96" authorId="0" shapeId="0">
      <text>
        <t>Sum of rows 42-53: Annual interest for 2028</t>
      </text>
    </comment>
    <comment ref="E96" authorId="0" shapeId="0">
      <text>
        <t>Sum of rows 42-53: Annual principal for 2028</t>
      </text>
    </comment>
    <comment ref="F96" authorId="0" shapeId="0">
      <text>
        <t>Sum of rows 42-53: Annual closing balance for 2028</t>
      </text>
    </comment>
  </commentList>
</comments>
</file>

<file path=xl/comments/comment86.xml><?xml version="1.0" encoding="utf-8"?>
<comments xmlns="http://schemas.openxmlformats.org/spreadsheetml/2006/main">
  <authors>
    <author>Model Builder</author>
  </authors>
  <commentList>
    <comment ref="B2" authorId="0" shapeId="0">
      <text>
        <t>Source: data/loans.md - Signature Bank section
Extracted: 2025-12-31</t>
      </text>
    </comment>
    <comment ref="B6" authorId="0" shapeId="0">
      <text>
        <t>Source: data/loans.md - Balance as of 12/31/2025
Loan: Signature Bank, 25 Trailers. Source: Meiborg_Debt_Schedule_202512.xlsx</t>
      </text>
    </comment>
    <comment ref="B7" authorId="0" shapeId="0">
      <text>
        <t>Driver: Annual interest rate 3.58%. Source: Meiborg_Debt_Schedule_202512.xlsx</t>
      </text>
    </comment>
    <comment ref="C18" authorId="0" shapeId="0">
      <text>
        <t>Loan: Signature Bank, 25 Trailers. Source: Meiborg_Debt_Schedule_202512.xlsx</t>
      </text>
    </comment>
    <comment ref="D18" authorId="0" shapeId="0">
      <text>
        <t>Loan: Signature Bank, 25 Trailers. Interest = MAX(0, Opening * Rate/12)</t>
      </text>
    </comment>
    <comment ref="E18" authorId="0" shapeId="0">
      <text>
        <t>Loan: Signature Bank, 25 Trailers. Principal = MAX(0, MIN(Opening, Payment - Interest))</t>
      </text>
    </comment>
    <comment ref="F18" authorId="0" shapeId="0">
      <text>
        <t>Loan: Signature Bank, 25 Trailers. Closing = MAX(0, Opening - Principal)</t>
      </text>
    </comment>
    <comment ref="C19" authorId="0" shapeId="0">
      <text>
        <t>Loan: Signature Bank, 25 Trailers. Source: Meiborg_Debt_Schedule_202512.xlsx</t>
      </text>
    </comment>
    <comment ref="D19" authorId="0" shapeId="0">
      <text>
        <t>Loan: Signature Bank, 25 Trailers. Interest = MAX(0, Opening * Rate/12)</t>
      </text>
    </comment>
    <comment ref="E19" authorId="0" shapeId="0">
      <text>
        <t>Loan: Signature Bank, 25 Trailers. Principal = MAX(0, MIN(Opening, Payment - Interest))</t>
      </text>
    </comment>
    <comment ref="F19" authorId="0" shapeId="0">
      <text>
        <t>Loan: Signature Bank, 25 Trailers. Closing = MAX(0, Opening - Principal)</t>
      </text>
    </comment>
    <comment ref="C20" authorId="0" shapeId="0">
      <text>
        <t>Loan: Signature Bank, 25 Trailers. Source: Meiborg_Debt_Schedule_202512.xlsx</t>
      </text>
    </comment>
    <comment ref="D20" authorId="0" shapeId="0">
      <text>
        <t>Loan: Signature Bank, 25 Trailers. Interest = MAX(0, Opening * Rate/12)</t>
      </text>
    </comment>
    <comment ref="E20" authorId="0" shapeId="0">
      <text>
        <t>Loan: Signature Bank, 25 Trailers. Principal = MAX(0, MIN(Opening, Payment - Interest))</t>
      </text>
    </comment>
    <comment ref="F20" authorId="0" shapeId="0">
      <text>
        <t>Loan: Signature Bank, 25 Trailers. Closing = MAX(0, Opening - Principal)</t>
      </text>
    </comment>
    <comment ref="C21" authorId="0" shapeId="0">
      <text>
        <t>Loan: Signature Bank, 25 Trailers. Source: Meiborg_Debt_Schedule_202512.xlsx</t>
      </text>
    </comment>
    <comment ref="D21" authorId="0" shapeId="0">
      <text>
        <t>Loan: Signature Bank, 25 Trailers. Interest = MAX(0, Opening * Rate/12)</t>
      </text>
    </comment>
    <comment ref="E21" authorId="0" shapeId="0">
      <text>
        <t>Loan: Signature Bank, 25 Trailers. Principal = MAX(0, MIN(Opening, Payment - Interest))</t>
      </text>
    </comment>
    <comment ref="F21" authorId="0" shapeId="0">
      <text>
        <t>Loan: Signature Bank, 25 Trailers. Closing = MAX(0, Opening - Principal)</t>
      </text>
    </comment>
    <comment ref="C22" authorId="0" shapeId="0">
      <text>
        <t>Loan: Signature Bank, 25 Trailers. Source: Meiborg_Debt_Schedule_202512.xlsx</t>
      </text>
    </comment>
    <comment ref="D22" authorId="0" shapeId="0">
      <text>
        <t>Loan: Signature Bank, 25 Trailers. Interest = MAX(0, Opening * Rate/12)</t>
      </text>
    </comment>
    <comment ref="E22" authorId="0" shapeId="0">
      <text>
        <t>Loan: Signature Bank, 25 Trailers. Principal = MAX(0, MIN(Opening, Payment - Interest))</t>
      </text>
    </comment>
    <comment ref="F22" authorId="0" shapeId="0">
      <text>
        <t>Loan: Signature Bank, 25 Trailers. Closing = MAX(0, Opening - Principal)</t>
      </text>
    </comment>
    <comment ref="C23" authorId="0" shapeId="0">
      <text>
        <t>Loan: Signature Bank, 25 Trailers. Source: Meiborg_Debt_Schedule_202512.xlsx</t>
      </text>
    </comment>
    <comment ref="D23" authorId="0" shapeId="0">
      <text>
        <t>Loan: Signature Bank, 25 Trailers. Interest = MAX(0, Opening * Rate/12)</t>
      </text>
    </comment>
    <comment ref="E23" authorId="0" shapeId="0">
      <text>
        <t>Loan: Signature Bank, 25 Trailers. Principal = MAX(0, MIN(Opening, Payment - Interest))</t>
      </text>
    </comment>
    <comment ref="F23" authorId="0" shapeId="0">
      <text>
        <t>Loan: Signature Bank, 25 Trailers. Closing = MAX(0, Opening - Principal)</t>
      </text>
    </comment>
    <comment ref="C24" authorId="0" shapeId="0">
      <text>
        <t>Loan: Signature Bank, 25 Trailers. Source: Meiborg_Debt_Schedule_202512.xlsx</t>
      </text>
    </comment>
    <comment ref="D24" authorId="0" shapeId="0">
      <text>
        <t>Loan: Signature Bank, 25 Trailers. Interest = MAX(0, Opening * Rate/12)</t>
      </text>
    </comment>
    <comment ref="E24" authorId="0" shapeId="0">
      <text>
        <t>Loan: Signature Bank, 25 Trailers. Principal = MAX(0, MIN(Opening, Payment - Interest))</t>
      </text>
    </comment>
    <comment ref="F24" authorId="0" shapeId="0">
      <text>
        <t>Loan: Signature Bank, 25 Trailers. Closing = MAX(0, Opening - Principal)</t>
      </text>
    </comment>
    <comment ref="C25" authorId="0" shapeId="0">
      <text>
        <t>Loan: Signature Bank, 25 Trailers. Source: Meiborg_Debt_Schedule_202512.xlsx</t>
      </text>
    </comment>
    <comment ref="D25" authorId="0" shapeId="0">
      <text>
        <t>Loan: Signature Bank, 25 Trailers. Interest = MAX(0, Opening * Rate/12)</t>
      </text>
    </comment>
    <comment ref="E25" authorId="0" shapeId="0">
      <text>
        <t>Loan: Signature Bank, 25 Trailers. Principal = MAX(0, MIN(Opening, Payment - Interest))</t>
      </text>
    </comment>
    <comment ref="F25" authorId="0" shapeId="0">
      <text>
        <t>Loan: Signature Bank, 25 Trailers. Closing = MAX(0, Opening - Principal)</t>
      </text>
    </comment>
    <comment ref="C26" authorId="0" shapeId="0">
      <text>
        <t>Loan: Signature Bank, 25 Trailers. Source: Meiborg_Debt_Schedule_202512.xlsx</t>
      </text>
    </comment>
    <comment ref="D26" authorId="0" shapeId="0">
      <text>
        <t>Loan: Signature Bank, 25 Trailers. Interest = MAX(0, Opening * Rate/12)</t>
      </text>
    </comment>
    <comment ref="E26" authorId="0" shapeId="0">
      <text>
        <t>Loan: Signature Bank, 25 Trailers. Principal = MAX(0, MIN(Opening, Payment - Interest))</t>
      </text>
    </comment>
    <comment ref="F26" authorId="0" shapeId="0">
      <text>
        <t>Loan: Signature Bank, 25 Trailers. Closing = MAX(0, Opening - Principal)</t>
      </text>
    </comment>
    <comment ref="C27" authorId="0" shapeId="0">
      <text>
        <t>Loan: Signature Bank, 25 Trailers. Source: Meiborg_Debt_Schedule_202512.xlsx</t>
      </text>
    </comment>
    <comment ref="D27" authorId="0" shapeId="0">
      <text>
        <t>Loan: Signature Bank, 25 Trailers. Interest = MAX(0, Opening * Rate/12)</t>
      </text>
    </comment>
    <comment ref="E27" authorId="0" shapeId="0">
      <text>
        <t>Loan: Signature Bank, 25 Trailers. Principal = MAX(0, MIN(Opening, Payment - Interest))</t>
      </text>
    </comment>
    <comment ref="F27" authorId="0" shapeId="0">
      <text>
        <t>Loan: Signature Bank, 25 Trailers. Closing = MAX(0, Opening - Principal)</t>
      </text>
    </comment>
    <comment ref="C28" authorId="0" shapeId="0">
      <text>
        <t>Loan: Signature Bank, 25 Trailers. Source: Meiborg_Debt_Schedule_202512.xlsx</t>
      </text>
    </comment>
    <comment ref="D28" authorId="0" shapeId="0">
      <text>
        <t>Loan: Signature Bank, 25 Trailers. Interest = MAX(0, Opening * Rate/12)</t>
      </text>
    </comment>
    <comment ref="E28" authorId="0" shapeId="0">
      <text>
        <t>Loan: Signature Bank, 25 Trailers. Principal = MAX(0, MIN(Opening, Payment - Interest))</t>
      </text>
    </comment>
    <comment ref="F28" authorId="0" shapeId="0">
      <text>
        <t>Loan: Signature Bank, 25 Trailers. Closing = MAX(0, Opening - Principal)</t>
      </text>
    </comment>
    <comment ref="C29" authorId="0" shapeId="0">
      <text>
        <t>Loan: Signature Bank, 25 Trailers. Source: Meiborg_Debt_Schedule_202512.xlsx</t>
      </text>
    </comment>
    <comment ref="D29" authorId="0" shapeId="0">
      <text>
        <t>Loan: Signature Bank, 25 Trailers. Interest = MAX(0, Opening * Rate/12)</t>
      </text>
    </comment>
    <comment ref="E29" authorId="0" shapeId="0">
      <text>
        <t>Loan: Signature Bank, 25 Trailers. Principal = MAX(0, MIN(Opening, Payment - Interest))</t>
      </text>
    </comment>
    <comment ref="F29" authorId="0" shapeId="0">
      <text>
        <t>Loan: Signature Bank, 25 Trailers. Closing = MAX(0, Opening - Principal)</t>
      </text>
    </comment>
    <comment ref="C30" authorId="0" shapeId="0">
      <text>
        <t>Loan: Signature Bank, 25 Trailers. Source: Meiborg_Debt_Schedule_202512.xlsx</t>
      </text>
    </comment>
    <comment ref="D30" authorId="0" shapeId="0">
      <text>
        <t>Loan: Signature Bank, 25 Trailers. Interest = MAX(0, Opening * Rate/12)</t>
      </text>
    </comment>
    <comment ref="E30" authorId="0" shapeId="0">
      <text>
        <t>Loan: Signature Bank, 25 Trailers. Principal = MAX(0, MIN(Opening, Payment - Interest))</t>
      </text>
    </comment>
    <comment ref="F30" authorId="0" shapeId="0">
      <text>
        <t>Loan: Signature Bank, 25 Trailers. Closing = MAX(0, Opening - Principal)</t>
      </text>
    </comment>
    <comment ref="C31" authorId="0" shapeId="0">
      <text>
        <t>Loan: Signature Bank, 25 Trailers. Source: Meiborg_Debt_Schedule_202512.xlsx</t>
      </text>
    </comment>
    <comment ref="D31" authorId="0" shapeId="0">
      <text>
        <t>Loan: Signature Bank, 25 Trailers. Interest = MAX(0, Opening * Rate/12)</t>
      </text>
    </comment>
    <comment ref="E31" authorId="0" shapeId="0">
      <text>
        <t>Loan: Signature Bank, 25 Trailers. Principal = MAX(0, MIN(Opening, Payment - Interest))</t>
      </text>
    </comment>
    <comment ref="F31" authorId="0" shapeId="0">
      <text>
        <t>Loan: Signature Bank, 25 Trailers. Closing = MAX(0, Opening - Principal)</t>
      </text>
    </comment>
    <comment ref="C32" authorId="0" shapeId="0">
      <text>
        <t>Loan: Signature Bank, 25 Trailers. Source: Meiborg_Debt_Schedule_202512.xlsx</t>
      </text>
    </comment>
    <comment ref="D32" authorId="0" shapeId="0">
      <text>
        <t>Loan: Signature Bank, 25 Trailers. Interest = MAX(0, Opening * Rate/12)</t>
      </text>
    </comment>
    <comment ref="E32" authorId="0" shapeId="0">
      <text>
        <t>Loan: Signature Bank, 25 Trailers. Principal = MAX(0, MIN(Opening, Payment - Interest))</t>
      </text>
    </comment>
    <comment ref="F32" authorId="0" shapeId="0">
      <text>
        <t>Loan: Signature Bank, 25 Trailers. Closing = MAX(0, Opening - Principal)</t>
      </text>
    </comment>
    <comment ref="C33" authorId="0" shapeId="0">
      <text>
        <t>Loan: Signature Bank, 25 Trailers. Source: Meiborg_Debt_Schedule_202512.xlsx</t>
      </text>
    </comment>
    <comment ref="D33" authorId="0" shapeId="0">
      <text>
        <t>Loan: Signature Bank, 25 Trailers. Interest = MAX(0, Opening * Rate/12)</t>
      </text>
    </comment>
    <comment ref="E33" authorId="0" shapeId="0">
      <text>
        <t>Loan: Signature Bank, 25 Trailers. Principal = MAX(0, MIN(Opening, Payment - Interest))</t>
      </text>
    </comment>
    <comment ref="F33" authorId="0" shapeId="0">
      <text>
        <t>Loan: Signature Bank, 25 Trailers. Closing = MAX(0, Opening - Principal)</t>
      </text>
    </comment>
    <comment ref="C34" authorId="0" shapeId="0">
      <text>
        <t>Loan: Signature Bank, 25 Trailers. Source: Meiborg_Debt_Schedule_202512.xlsx</t>
      </text>
    </comment>
    <comment ref="D34" authorId="0" shapeId="0">
      <text>
        <t>Loan: Signature Bank, 25 Trailers. Interest = MAX(0, Opening * Rate/12)</t>
      </text>
    </comment>
    <comment ref="E34" authorId="0" shapeId="0">
      <text>
        <t>Loan: Signature Bank, 25 Trailers. Principal = MAX(0, MIN(Opening, Payment - Interest))</t>
      </text>
    </comment>
    <comment ref="F34" authorId="0" shapeId="0">
      <text>
        <t>Loan: Signature Bank, 25 Trailers. Closing = MAX(0, Opening - Principal)</t>
      </text>
    </comment>
    <comment ref="C35" authorId="0" shapeId="0">
      <text>
        <t>Loan: Signature Bank, 25 Trailers. Source: Meiborg_Debt_Schedule_202512.xlsx</t>
      </text>
    </comment>
    <comment ref="D35" authorId="0" shapeId="0">
      <text>
        <t>Loan: Signature Bank, 25 Trailers. Interest = MAX(0, Opening * Rate/12)</t>
      </text>
    </comment>
    <comment ref="E35" authorId="0" shapeId="0">
      <text>
        <t>Loan: Signature Bank, 25 Trailers. Principal = MAX(0, MIN(Opening, Payment - Interest))</t>
      </text>
    </comment>
    <comment ref="F35" authorId="0" shapeId="0">
      <text>
        <t>Loan: Signature Bank, 25 Trailers. Closing = MAX(0, Opening - Principal)</t>
      </text>
    </comment>
    <comment ref="C36" authorId="0" shapeId="0">
      <text>
        <t>Loan: Signature Bank, 25 Trailers. Source: Meiborg_Debt_Schedule_202512.xlsx</t>
      </text>
    </comment>
    <comment ref="D36" authorId="0" shapeId="0">
      <text>
        <t>Loan: Signature Bank, 25 Trailers. Interest = MAX(0, Opening * Rate/12)</t>
      </text>
    </comment>
    <comment ref="E36" authorId="0" shapeId="0">
      <text>
        <t>Loan: Signature Bank, 25 Trailers. Principal = MAX(0, MIN(Opening, Payment - Interest))</t>
      </text>
    </comment>
    <comment ref="F36" authorId="0" shapeId="0">
      <text>
        <t>Loan: Signature Bank, 25 Trailers. Closing = MAX(0, Opening - Principal)</t>
      </text>
    </comment>
    <comment ref="C37" authorId="0" shapeId="0">
      <text>
        <t>Loan: Signature Bank, 25 Trailers. Source: Meiborg_Debt_Schedule_202512.xlsx</t>
      </text>
    </comment>
    <comment ref="D37" authorId="0" shapeId="0">
      <text>
        <t>Loan: Signature Bank, 25 Trailers. Interest = MAX(0, Opening * Rate/12)</t>
      </text>
    </comment>
    <comment ref="E37" authorId="0" shapeId="0">
      <text>
        <t>Loan: Signature Bank, 25 Trailers. Principal = MAX(0, MIN(Opening, Payment - Interest))</t>
      </text>
    </comment>
    <comment ref="F37" authorId="0" shapeId="0">
      <text>
        <t>Loan: Signature Bank, 25 Trailers. Closing = MAX(0, Opening - Principal)</t>
      </text>
    </comment>
    <comment ref="C38" authorId="0" shapeId="0">
      <text>
        <t>Loan: Signature Bank, 25 Trailers. Source: Meiborg_Debt_Schedule_202512.xlsx</t>
      </text>
    </comment>
    <comment ref="D38" authorId="0" shapeId="0">
      <text>
        <t>Loan: Signature Bank, 25 Trailers. Interest = MAX(0, Opening * Rate/12)</t>
      </text>
    </comment>
    <comment ref="E38" authorId="0" shapeId="0">
      <text>
        <t>Loan: Signature Bank, 25 Trailers. Principal = MAX(0, MIN(Opening, Payment - Interest))</t>
      </text>
    </comment>
    <comment ref="F38" authorId="0" shapeId="0">
      <text>
        <t>Loan: Signature Bank, 25 Trailers. Closing = MAX(0, Opening - Principal)</t>
      </text>
    </comment>
    <comment ref="C39" authorId="0" shapeId="0">
      <text>
        <t>Loan: Signature Bank, 25 Trailers. Source: Meiborg_Debt_Schedule_202512.xlsx</t>
      </text>
    </comment>
    <comment ref="D39" authorId="0" shapeId="0">
      <text>
        <t>Loan: Signature Bank, 25 Trailers. Interest = MAX(0, Opening * Rate/12)</t>
      </text>
    </comment>
    <comment ref="E39" authorId="0" shapeId="0">
      <text>
        <t>Loan: Signature Bank, 25 Trailers. Principal = MAX(0, MIN(Opening, Payment - Interest))</t>
      </text>
    </comment>
    <comment ref="F39" authorId="0" shapeId="0">
      <text>
        <t>Loan: Signature Bank, 25 Trailers. Closing = MAX(0, Opening - Principal)</t>
      </text>
    </comment>
    <comment ref="C40" authorId="0" shapeId="0">
      <text>
        <t>Loan: Signature Bank, 25 Trailers. Source: Meiborg_Debt_Schedule_202512.xlsx</t>
      </text>
    </comment>
    <comment ref="D40" authorId="0" shapeId="0">
      <text>
        <t>Loan: Signature Bank, 25 Trailers. Interest = MAX(0, Opening * Rate/12)</t>
      </text>
    </comment>
    <comment ref="E40" authorId="0" shapeId="0">
      <text>
        <t>Loan: Signature Bank, 25 Trailers. Principal = MAX(0, MIN(Opening, Payment - Interest))</t>
      </text>
    </comment>
    <comment ref="F40" authorId="0" shapeId="0">
      <text>
        <t>Loan: Signature Bank, 25 Trailers. Closing = MAX(0, Opening - Principal)</t>
      </text>
    </comment>
    <comment ref="C41" authorId="0" shapeId="0">
      <text>
        <t>Loan: Signature Bank, 25 Trailers. Source: Meiborg_Debt_Schedule_202512.xlsx</t>
      </text>
    </comment>
    <comment ref="D41" authorId="0" shapeId="0">
      <text>
        <t>Loan: Signature Bank, 25 Trailers. Interest = MAX(0, Opening * Rate/12)</t>
      </text>
    </comment>
    <comment ref="E41" authorId="0" shapeId="0">
      <text>
        <t>Loan: Signature Bank, 25 Trailers. Principal = MAX(0, MIN(Opening, Payment - Interest))</t>
      </text>
    </comment>
    <comment ref="F41" authorId="0" shapeId="0">
      <text>
        <t>Loan: Signature Bank, 25 Trailers. Closing = MAX(0, Opening - Principal)</t>
      </text>
    </comment>
    <comment ref="C45" authorId="0" shapeId="0">
      <text>
        <t>Sum of rows 18-29: Annual opening balance for 2026</t>
      </text>
    </comment>
    <comment ref="D45" authorId="0" shapeId="0">
      <text>
        <t>Sum of rows 18-29: Annual interest for 2026</t>
      </text>
    </comment>
    <comment ref="E45" authorId="0" shapeId="0">
      <text>
        <t>Sum of rows 18-29: Annual principal for 2026</t>
      </text>
    </comment>
    <comment ref="F45" authorId="0" shapeId="0">
      <text>
        <t>Sum of rows 18-29: Annual closing balance for 2026</t>
      </text>
    </comment>
    <comment ref="C46" authorId="0" shapeId="0">
      <text>
        <t>Sum of rows 30-41: Annual opening balance for 2027</t>
      </text>
    </comment>
    <comment ref="D46" authorId="0" shapeId="0">
      <text>
        <t>Sum of rows 30-41: Annual interest for 2027</t>
      </text>
    </comment>
    <comment ref="E46" authorId="0" shapeId="0">
      <text>
        <t>Sum of rows 30-41: Annual principal for 2027</t>
      </text>
    </comment>
    <comment ref="F46" authorId="0" shapeId="0">
      <text>
        <t>Sum of rows 30-41: Annual closing balance for 2027</t>
      </text>
    </comment>
  </commentList>
</comments>
</file>

<file path=xl/comments/comment87.xml><?xml version="1.0" encoding="utf-8"?>
<comments xmlns="http://schemas.openxmlformats.org/spreadsheetml/2006/main">
  <authors>
    <author>Model Builder</author>
  </authors>
  <commentList>
    <comment ref="B2" authorId="0" shapeId="0">
      <text>
        <t>Source: data/loans.md - NBH Bank section
Extracted: 2025-12-31</t>
      </text>
    </comment>
    <comment ref="B6" authorId="0" shapeId="0">
      <text>
        <t>Source: data/loans.md - Balance as of 12/31/2025
Loan: NBH Bank, 25 Trailers. Source: Meiborg_Debt_Schedule_202512.xlsx</t>
      </text>
    </comment>
    <comment ref="B7" authorId="0" shapeId="0">
      <text>
        <t>Driver: Annual interest rate 3.60%. Source: Meiborg_Debt_Schedule_202512.xlsx</t>
      </text>
    </comment>
    <comment ref="C18" authorId="0" shapeId="0">
      <text>
        <t>Loan: NBH Bank, 25 Trailers. Source: Meiborg_Debt_Schedule_202512.xlsx</t>
      </text>
    </comment>
    <comment ref="D18" authorId="0" shapeId="0">
      <text>
        <t>Loan: NBH Bank, 25 Trailers. Interest = MAX(0, Opening * Rate/12)</t>
      </text>
    </comment>
    <comment ref="E18" authorId="0" shapeId="0">
      <text>
        <t>Loan: NBH Bank, 25 Trailers. Principal = MAX(0, MIN(Opening, Payment - Interest))</t>
      </text>
    </comment>
    <comment ref="F18" authorId="0" shapeId="0">
      <text>
        <t>Loan: NBH Bank, 25 Trailers. Closing = MAX(0, Opening - Principal)</t>
      </text>
    </comment>
    <comment ref="C19" authorId="0" shapeId="0">
      <text>
        <t>Loan: NBH Bank, 25 Trailers. Source: Meiborg_Debt_Schedule_202512.xlsx</t>
      </text>
    </comment>
    <comment ref="D19" authorId="0" shapeId="0">
      <text>
        <t>Loan: NBH Bank, 25 Trailers. Interest = MAX(0, Opening * Rate/12)</t>
      </text>
    </comment>
    <comment ref="E19" authorId="0" shapeId="0">
      <text>
        <t>Loan: NBH Bank, 25 Trailers. Principal = MAX(0, MIN(Opening, Payment - Interest))</t>
      </text>
    </comment>
    <comment ref="F19" authorId="0" shapeId="0">
      <text>
        <t>Loan: NBH Bank, 25 Trailers. Closing = MAX(0, Opening - Principal)</t>
      </text>
    </comment>
    <comment ref="C20" authorId="0" shapeId="0">
      <text>
        <t>Loan: NBH Bank, 25 Trailers. Source: Meiborg_Debt_Schedule_202512.xlsx</t>
      </text>
    </comment>
    <comment ref="D20" authorId="0" shapeId="0">
      <text>
        <t>Loan: NBH Bank, 25 Trailers. Interest = MAX(0, Opening * Rate/12)</t>
      </text>
    </comment>
    <comment ref="E20" authorId="0" shapeId="0">
      <text>
        <t>Loan: NBH Bank, 25 Trailers. Principal = MAX(0, MIN(Opening, Payment - Interest))</t>
      </text>
    </comment>
    <comment ref="F20" authorId="0" shapeId="0">
      <text>
        <t>Loan: NBH Bank, 25 Trailers. Closing = MAX(0, Opening - Principal)</t>
      </text>
    </comment>
    <comment ref="C21" authorId="0" shapeId="0">
      <text>
        <t>Loan: NBH Bank, 25 Trailers. Source: Meiborg_Debt_Schedule_202512.xlsx</t>
      </text>
    </comment>
    <comment ref="D21" authorId="0" shapeId="0">
      <text>
        <t>Loan: NBH Bank, 25 Trailers. Interest = MAX(0, Opening * Rate/12)</t>
      </text>
    </comment>
    <comment ref="E21" authorId="0" shapeId="0">
      <text>
        <t>Loan: NBH Bank, 25 Trailers. Principal = MAX(0, MIN(Opening, Payment - Interest))</t>
      </text>
    </comment>
    <comment ref="F21" authorId="0" shapeId="0">
      <text>
        <t>Loan: NBH Bank, 25 Trailers. Closing = MAX(0, Opening - Principal)</t>
      </text>
    </comment>
    <comment ref="C22" authorId="0" shapeId="0">
      <text>
        <t>Loan: NBH Bank, 25 Trailers. Source: Meiborg_Debt_Schedule_202512.xlsx</t>
      </text>
    </comment>
    <comment ref="D22" authorId="0" shapeId="0">
      <text>
        <t>Loan: NBH Bank, 25 Trailers. Interest = MAX(0, Opening * Rate/12)</t>
      </text>
    </comment>
    <comment ref="E22" authorId="0" shapeId="0">
      <text>
        <t>Loan: NBH Bank, 25 Trailers. Principal = MAX(0, MIN(Opening, Payment - Interest))</t>
      </text>
    </comment>
    <comment ref="F22" authorId="0" shapeId="0">
      <text>
        <t>Loan: NBH Bank, 25 Trailers. Closing = MAX(0, Opening - Principal)</t>
      </text>
    </comment>
    <comment ref="C23" authorId="0" shapeId="0">
      <text>
        <t>Loan: NBH Bank, 25 Trailers. Source: Meiborg_Debt_Schedule_202512.xlsx</t>
      </text>
    </comment>
    <comment ref="D23" authorId="0" shapeId="0">
      <text>
        <t>Loan: NBH Bank, 25 Trailers. Interest = MAX(0, Opening * Rate/12)</t>
      </text>
    </comment>
    <comment ref="E23" authorId="0" shapeId="0">
      <text>
        <t>Loan: NBH Bank, 25 Trailers. Principal = MAX(0, MIN(Opening, Payment - Interest))</t>
      </text>
    </comment>
    <comment ref="F23" authorId="0" shapeId="0">
      <text>
        <t>Loan: NBH Bank, 25 Trailers. Closing = MAX(0, Opening - Principal)</t>
      </text>
    </comment>
    <comment ref="C24" authorId="0" shapeId="0">
      <text>
        <t>Loan: NBH Bank, 25 Trailers. Source: Meiborg_Debt_Schedule_202512.xlsx</t>
      </text>
    </comment>
    <comment ref="D24" authorId="0" shapeId="0">
      <text>
        <t>Loan: NBH Bank, 25 Trailers. Interest = MAX(0, Opening * Rate/12)</t>
      </text>
    </comment>
    <comment ref="E24" authorId="0" shapeId="0">
      <text>
        <t>Loan: NBH Bank, 25 Trailers. Principal = MAX(0, MIN(Opening, Payment - Interest))</t>
      </text>
    </comment>
    <comment ref="F24" authorId="0" shapeId="0">
      <text>
        <t>Loan: NBH Bank, 25 Trailers. Closing = MAX(0, Opening - Principal)</t>
      </text>
    </comment>
    <comment ref="C25" authorId="0" shapeId="0">
      <text>
        <t>Loan: NBH Bank, 25 Trailers. Source: Meiborg_Debt_Schedule_202512.xlsx</t>
      </text>
    </comment>
    <comment ref="D25" authorId="0" shapeId="0">
      <text>
        <t>Loan: NBH Bank, 25 Trailers. Interest = MAX(0, Opening * Rate/12)</t>
      </text>
    </comment>
    <comment ref="E25" authorId="0" shapeId="0">
      <text>
        <t>Loan: NBH Bank, 25 Trailers. Principal = MAX(0, MIN(Opening, Payment - Interest))</t>
      </text>
    </comment>
    <comment ref="F25" authorId="0" shapeId="0">
      <text>
        <t>Loan: NBH Bank, 25 Trailers. Closing = MAX(0, Opening - Principal)</t>
      </text>
    </comment>
    <comment ref="C26" authorId="0" shapeId="0">
      <text>
        <t>Loan: NBH Bank, 25 Trailers. Source: Meiborg_Debt_Schedule_202512.xlsx</t>
      </text>
    </comment>
    <comment ref="D26" authorId="0" shapeId="0">
      <text>
        <t>Loan: NBH Bank, 25 Trailers. Interest = MAX(0, Opening * Rate/12)</t>
      </text>
    </comment>
    <comment ref="E26" authorId="0" shapeId="0">
      <text>
        <t>Loan: NBH Bank, 25 Trailers. Principal = MAX(0, MIN(Opening, Payment - Interest))</t>
      </text>
    </comment>
    <comment ref="F26" authorId="0" shapeId="0">
      <text>
        <t>Loan: NBH Bank, 25 Trailers. Closing = MAX(0, Opening - Principal)</t>
      </text>
    </comment>
    <comment ref="C27" authorId="0" shapeId="0">
      <text>
        <t>Loan: NBH Bank, 25 Trailers. Source: Meiborg_Debt_Schedule_202512.xlsx</t>
      </text>
    </comment>
    <comment ref="D27" authorId="0" shapeId="0">
      <text>
        <t>Loan: NBH Bank, 25 Trailers. Interest = MAX(0, Opening * Rate/12)</t>
      </text>
    </comment>
    <comment ref="E27" authorId="0" shapeId="0">
      <text>
        <t>Loan: NBH Bank, 25 Trailers. Principal = MAX(0, MIN(Opening, Payment - Interest))</t>
      </text>
    </comment>
    <comment ref="F27" authorId="0" shapeId="0">
      <text>
        <t>Loan: NBH Bank, 25 Trailers. Closing = MAX(0, Opening - Principal)</t>
      </text>
    </comment>
    <comment ref="C28" authorId="0" shapeId="0">
      <text>
        <t>Loan: NBH Bank, 25 Trailers. Source: Meiborg_Debt_Schedule_202512.xlsx</t>
      </text>
    </comment>
    <comment ref="D28" authorId="0" shapeId="0">
      <text>
        <t>Loan: NBH Bank, 25 Trailers. Interest = MAX(0, Opening * Rate/12)</t>
      </text>
    </comment>
    <comment ref="E28" authorId="0" shapeId="0">
      <text>
        <t>Loan: NBH Bank, 25 Trailers. Principal = MAX(0, MIN(Opening, Payment - Interest))</t>
      </text>
    </comment>
    <comment ref="F28" authorId="0" shapeId="0">
      <text>
        <t>Loan: NBH Bank, 25 Trailers. Closing = MAX(0, Opening - Principal)</t>
      </text>
    </comment>
    <comment ref="C29" authorId="0" shapeId="0">
      <text>
        <t>Loan: NBH Bank, 25 Trailers. Source: Meiborg_Debt_Schedule_202512.xlsx</t>
      </text>
    </comment>
    <comment ref="D29" authorId="0" shapeId="0">
      <text>
        <t>Loan: NBH Bank, 25 Trailers. Interest = MAX(0, Opening * Rate/12)</t>
      </text>
    </comment>
    <comment ref="E29" authorId="0" shapeId="0">
      <text>
        <t>Loan: NBH Bank, 25 Trailers. Principal = MAX(0, MIN(Opening, Payment - Interest))</t>
      </text>
    </comment>
    <comment ref="F29" authorId="0" shapeId="0">
      <text>
        <t>Loan: NBH Bank, 25 Trailers. Closing = MAX(0, Opening - Principal)</t>
      </text>
    </comment>
    <comment ref="C30" authorId="0" shapeId="0">
      <text>
        <t>Loan: NBH Bank, 25 Trailers. Source: Meiborg_Debt_Schedule_202512.xlsx</t>
      </text>
    </comment>
    <comment ref="D30" authorId="0" shapeId="0">
      <text>
        <t>Loan: NBH Bank, 25 Trailers. Interest = MAX(0, Opening * Rate/12)</t>
      </text>
    </comment>
    <comment ref="E30" authorId="0" shapeId="0">
      <text>
        <t>Loan: NBH Bank, 25 Trailers. Principal = MAX(0, MIN(Opening, Payment - Interest))</t>
      </text>
    </comment>
    <comment ref="F30" authorId="0" shapeId="0">
      <text>
        <t>Loan: NBH Bank, 25 Trailers. Closing = MAX(0, Opening - Principal)</t>
      </text>
    </comment>
    <comment ref="C31" authorId="0" shapeId="0">
      <text>
        <t>Loan: NBH Bank, 25 Trailers. Source: Meiborg_Debt_Schedule_202512.xlsx</t>
      </text>
    </comment>
    <comment ref="D31" authorId="0" shapeId="0">
      <text>
        <t>Loan: NBH Bank, 25 Trailers. Interest = MAX(0, Opening * Rate/12)</t>
      </text>
    </comment>
    <comment ref="E31" authorId="0" shapeId="0">
      <text>
        <t>Loan: NBH Bank, 25 Trailers. Principal = MAX(0, MIN(Opening, Payment - Interest))</t>
      </text>
    </comment>
    <comment ref="F31" authorId="0" shapeId="0">
      <text>
        <t>Loan: NBH Bank, 25 Trailers. Closing = MAX(0, Opening - Principal)</t>
      </text>
    </comment>
    <comment ref="C32" authorId="0" shapeId="0">
      <text>
        <t>Loan: NBH Bank, 25 Trailers. Source: Meiborg_Debt_Schedule_202512.xlsx</t>
      </text>
    </comment>
    <comment ref="D32" authorId="0" shapeId="0">
      <text>
        <t>Loan: NBH Bank, 25 Trailers. Interest = MAX(0, Opening * Rate/12)</t>
      </text>
    </comment>
    <comment ref="E32" authorId="0" shapeId="0">
      <text>
        <t>Loan: NBH Bank, 25 Trailers. Principal = MAX(0, MIN(Opening, Payment - Interest))</t>
      </text>
    </comment>
    <comment ref="F32" authorId="0" shapeId="0">
      <text>
        <t>Loan: NBH Bank, 25 Trailers. Closing = MAX(0, Opening - Principal)</t>
      </text>
    </comment>
    <comment ref="C33" authorId="0" shapeId="0">
      <text>
        <t>Loan: NBH Bank, 25 Trailers. Source: Meiborg_Debt_Schedule_202512.xlsx</t>
      </text>
    </comment>
    <comment ref="D33" authorId="0" shapeId="0">
      <text>
        <t>Loan: NBH Bank, 25 Trailers. Interest = MAX(0, Opening * Rate/12)</t>
      </text>
    </comment>
    <comment ref="E33" authorId="0" shapeId="0">
      <text>
        <t>Loan: NBH Bank, 25 Trailers. Principal = MAX(0, MIN(Opening, Payment - Interest))</t>
      </text>
    </comment>
    <comment ref="F33" authorId="0" shapeId="0">
      <text>
        <t>Loan: NBH Bank, 25 Trailers. Closing = MAX(0, Opening - Principal)</t>
      </text>
    </comment>
    <comment ref="C34" authorId="0" shapeId="0">
      <text>
        <t>Loan: NBH Bank, 25 Trailers. Source: Meiborg_Debt_Schedule_202512.xlsx</t>
      </text>
    </comment>
    <comment ref="D34" authorId="0" shapeId="0">
      <text>
        <t>Loan: NBH Bank, 25 Trailers. Interest = MAX(0, Opening * Rate/12)</t>
      </text>
    </comment>
    <comment ref="E34" authorId="0" shapeId="0">
      <text>
        <t>Loan: NBH Bank, 25 Trailers. Principal = MAX(0, MIN(Opening, Payment - Interest))</t>
      </text>
    </comment>
    <comment ref="F34" authorId="0" shapeId="0">
      <text>
        <t>Loan: NBH Bank, 25 Trailers. Closing = MAX(0, Opening - Principal)</t>
      </text>
    </comment>
    <comment ref="C35" authorId="0" shapeId="0">
      <text>
        <t>Loan: NBH Bank, 25 Trailers. Source: Meiborg_Debt_Schedule_202512.xlsx</t>
      </text>
    </comment>
    <comment ref="D35" authorId="0" shapeId="0">
      <text>
        <t>Loan: NBH Bank, 25 Trailers. Interest = MAX(0, Opening * Rate/12)</t>
      </text>
    </comment>
    <comment ref="E35" authorId="0" shapeId="0">
      <text>
        <t>Loan: NBH Bank, 25 Trailers. Principal = MAX(0, MIN(Opening, Payment - Interest))</t>
      </text>
    </comment>
    <comment ref="F35" authorId="0" shapeId="0">
      <text>
        <t>Loan: NBH Bank, 25 Trailers. Closing = MAX(0, Opening - Principal)</t>
      </text>
    </comment>
    <comment ref="C36" authorId="0" shapeId="0">
      <text>
        <t>Loan: NBH Bank, 25 Trailers. Source: Meiborg_Debt_Schedule_202512.xlsx</t>
      </text>
    </comment>
    <comment ref="D36" authorId="0" shapeId="0">
      <text>
        <t>Loan: NBH Bank, 25 Trailers. Interest = MAX(0, Opening * Rate/12)</t>
      </text>
    </comment>
    <comment ref="E36" authorId="0" shapeId="0">
      <text>
        <t>Loan: NBH Bank, 25 Trailers. Principal = MAX(0, MIN(Opening, Payment - Interest))</t>
      </text>
    </comment>
    <comment ref="F36" authorId="0" shapeId="0">
      <text>
        <t>Loan: NBH Bank, 25 Trailers. Closing = MAX(0, Opening - Principal)</t>
      </text>
    </comment>
    <comment ref="C37" authorId="0" shapeId="0">
      <text>
        <t>Loan: NBH Bank, 25 Trailers. Source: Meiborg_Debt_Schedule_202512.xlsx</t>
      </text>
    </comment>
    <comment ref="D37" authorId="0" shapeId="0">
      <text>
        <t>Loan: NBH Bank, 25 Trailers. Interest = MAX(0, Opening * Rate/12)</t>
      </text>
    </comment>
    <comment ref="E37" authorId="0" shapeId="0">
      <text>
        <t>Loan: NBH Bank, 25 Trailers. Principal = MAX(0, MIN(Opening, Payment - Interest))</t>
      </text>
    </comment>
    <comment ref="F37" authorId="0" shapeId="0">
      <text>
        <t>Loan: NBH Bank, 25 Trailers. Closing = MAX(0, Opening - Principal)</t>
      </text>
    </comment>
    <comment ref="C38" authorId="0" shapeId="0">
      <text>
        <t>Loan: NBH Bank, 25 Trailers. Source: Meiborg_Debt_Schedule_202512.xlsx</t>
      </text>
    </comment>
    <comment ref="D38" authorId="0" shapeId="0">
      <text>
        <t>Loan: NBH Bank, 25 Trailers. Interest = MAX(0, Opening * Rate/12)</t>
      </text>
    </comment>
    <comment ref="E38" authorId="0" shapeId="0">
      <text>
        <t>Loan: NBH Bank, 25 Trailers. Principal = MAX(0, MIN(Opening, Payment - Interest))</t>
      </text>
    </comment>
    <comment ref="F38" authorId="0" shapeId="0">
      <text>
        <t>Loan: NBH Bank, 25 Trailers. Closing = MAX(0, Opening - Principal)</t>
      </text>
    </comment>
    <comment ref="C39" authorId="0" shapeId="0">
      <text>
        <t>Loan: NBH Bank, 25 Trailers. Source: Meiborg_Debt_Schedule_202512.xlsx</t>
      </text>
    </comment>
    <comment ref="D39" authorId="0" shapeId="0">
      <text>
        <t>Loan: NBH Bank, 25 Trailers. Interest = MAX(0, Opening * Rate/12)</t>
      </text>
    </comment>
    <comment ref="E39" authorId="0" shapeId="0">
      <text>
        <t>Loan: NBH Bank, 25 Trailers. Principal = MAX(0, MIN(Opening, Payment - Interest))</t>
      </text>
    </comment>
    <comment ref="F39" authorId="0" shapeId="0">
      <text>
        <t>Loan: NBH Bank, 25 Trailers. Closing = MAX(0, Opening - Principal)</t>
      </text>
    </comment>
    <comment ref="C40" authorId="0" shapeId="0">
      <text>
        <t>Loan: NBH Bank, 25 Trailers. Source: Meiborg_Debt_Schedule_202512.xlsx</t>
      </text>
    </comment>
    <comment ref="D40" authorId="0" shapeId="0">
      <text>
        <t>Loan: NBH Bank, 25 Trailers. Interest = MAX(0, Opening * Rate/12)</t>
      </text>
    </comment>
    <comment ref="E40" authorId="0" shapeId="0">
      <text>
        <t>Loan: NBH Bank, 25 Trailers. Principal = MAX(0, MIN(Opening, Payment - Interest))</t>
      </text>
    </comment>
    <comment ref="F40" authorId="0" shapeId="0">
      <text>
        <t>Loan: NBH Bank, 25 Trailers. Closing = MAX(0, Opening - Principal)</t>
      </text>
    </comment>
    <comment ref="C41" authorId="0" shapeId="0">
      <text>
        <t>Loan: NBH Bank, 25 Trailers. Source: Meiborg_Debt_Schedule_202512.xlsx</t>
      </text>
    </comment>
    <comment ref="D41" authorId="0" shapeId="0">
      <text>
        <t>Loan: NBH Bank, 25 Trailers. Interest = MAX(0, Opening * Rate/12)</t>
      </text>
    </comment>
    <comment ref="E41" authorId="0" shapeId="0">
      <text>
        <t>Loan: NBH Bank, 25 Trailers. Principal = MAX(0, MIN(Opening, Payment - Interest))</t>
      </text>
    </comment>
    <comment ref="F41" authorId="0" shapeId="0">
      <text>
        <t>Loan: NBH Bank, 25 Trailers. Closing = MAX(0, Opening - Principal)</t>
      </text>
    </comment>
    <comment ref="C45" authorId="0" shapeId="0">
      <text>
        <t>Sum of rows 18-29: Annual opening balance for 2026</t>
      </text>
    </comment>
    <comment ref="D45" authorId="0" shapeId="0">
      <text>
        <t>Sum of rows 18-29: Annual interest for 2026</t>
      </text>
    </comment>
    <comment ref="E45" authorId="0" shapeId="0">
      <text>
        <t>Sum of rows 18-29: Annual principal for 2026</t>
      </text>
    </comment>
    <comment ref="F45" authorId="0" shapeId="0">
      <text>
        <t>Sum of rows 18-29: Annual closing balance for 2026</t>
      </text>
    </comment>
    <comment ref="C46" authorId="0" shapeId="0">
      <text>
        <t>Sum of rows 30-41: Annual opening balance for 2027</t>
      </text>
    </comment>
    <comment ref="D46" authorId="0" shapeId="0">
      <text>
        <t>Sum of rows 30-41: Annual interest for 2027</t>
      </text>
    </comment>
    <comment ref="E46" authorId="0" shapeId="0">
      <text>
        <t>Sum of rows 30-41: Annual principal for 2027</t>
      </text>
    </comment>
    <comment ref="F46" authorId="0" shapeId="0">
      <text>
        <t>Sum of rows 30-41: Annual closing balance for 2027</t>
      </text>
    </comment>
  </commentList>
</comments>
</file>

<file path=xl/comments/comment88.xml><?xml version="1.0" encoding="utf-8"?>
<comments xmlns="http://schemas.openxmlformats.org/spreadsheetml/2006/main">
  <authors>
    <author>Model Builder</author>
  </authors>
  <commentList>
    <comment ref="B2" authorId="0" shapeId="0">
      <text>
        <t>Source: data/loans.md - Peoples Bank (M&amp;T) section
Extracted: 2025-12-31</t>
      </text>
    </comment>
    <comment ref="B6" authorId="0" shapeId="0">
      <text>
        <t>Source: data/loans.md - Balance as of 12/31/2025
Loan: Peoples Bank (M&amp;T), 25 Trailers. Source: Meiborg_Debt_Schedule_202512.xlsx</t>
      </text>
    </comment>
    <comment ref="B7" authorId="0" shapeId="0">
      <text>
        <t>Driver: Annual interest rate 3.40%. Source: Meiborg_Debt_Schedule_202512.xlsx</t>
      </text>
    </comment>
    <comment ref="C18" authorId="0" shapeId="0">
      <text>
        <t>Loan: Peoples Bank (M&amp;T), 25 Trailers. Source: Meiborg_Debt_Schedule_202512.xlsx</t>
      </text>
    </comment>
    <comment ref="D18" authorId="0" shapeId="0">
      <text>
        <t>Loan: Peoples Bank (M&amp;T), 25 Trailers. Interest = MAX(0, Opening * Rate/12)</t>
      </text>
    </comment>
    <comment ref="E18" authorId="0" shapeId="0">
      <text>
        <t>Loan: Peoples Bank (M&amp;T), 25 Trailers. Principal = MAX(0, MIN(Opening, Payment - Interest))</t>
      </text>
    </comment>
    <comment ref="F18" authorId="0" shapeId="0">
      <text>
        <t>Loan: Peoples Bank (M&amp;T), 25 Trailers. Closing = MAX(0, Opening - Principal)</t>
      </text>
    </comment>
    <comment ref="C19" authorId="0" shapeId="0">
      <text>
        <t>Loan: Peoples Bank (M&amp;T), 25 Trailers. Source: Meiborg_Debt_Schedule_202512.xlsx</t>
      </text>
    </comment>
    <comment ref="D19" authorId="0" shapeId="0">
      <text>
        <t>Loan: Peoples Bank (M&amp;T), 25 Trailers. Interest = MAX(0, Opening * Rate/12)</t>
      </text>
    </comment>
    <comment ref="E19" authorId="0" shapeId="0">
      <text>
        <t>Loan: Peoples Bank (M&amp;T), 25 Trailers. Principal = MAX(0, MIN(Opening, Payment - Interest))</t>
      </text>
    </comment>
    <comment ref="F19" authorId="0" shapeId="0">
      <text>
        <t>Loan: Peoples Bank (M&amp;T), 25 Trailers. Closing = MAX(0, Opening - Principal)</t>
      </text>
    </comment>
    <comment ref="C20" authorId="0" shapeId="0">
      <text>
        <t>Loan: Peoples Bank (M&amp;T), 25 Trailers. Source: Meiborg_Debt_Schedule_202512.xlsx</t>
      </text>
    </comment>
    <comment ref="D20" authorId="0" shapeId="0">
      <text>
        <t>Loan: Peoples Bank (M&amp;T), 25 Trailers. Interest = MAX(0, Opening * Rate/12)</t>
      </text>
    </comment>
    <comment ref="E20" authorId="0" shapeId="0">
      <text>
        <t>Loan: Peoples Bank (M&amp;T), 25 Trailers. Principal = MAX(0, MIN(Opening, Payment - Interest))</t>
      </text>
    </comment>
    <comment ref="F20" authorId="0" shapeId="0">
      <text>
        <t>Loan: Peoples Bank (M&amp;T), 25 Trailers. Closing = MAX(0, Opening - Principal)</t>
      </text>
    </comment>
    <comment ref="C21" authorId="0" shapeId="0">
      <text>
        <t>Loan: Peoples Bank (M&amp;T), 25 Trailers. Source: Meiborg_Debt_Schedule_202512.xlsx</t>
      </text>
    </comment>
    <comment ref="D21" authorId="0" shapeId="0">
      <text>
        <t>Loan: Peoples Bank (M&amp;T), 25 Trailers. Interest = MAX(0, Opening * Rate/12)</t>
      </text>
    </comment>
    <comment ref="E21" authorId="0" shapeId="0">
      <text>
        <t>Loan: Peoples Bank (M&amp;T), 25 Trailers. Principal = MAX(0, MIN(Opening, Payment - Interest))</t>
      </text>
    </comment>
    <comment ref="F21" authorId="0" shapeId="0">
      <text>
        <t>Loan: Peoples Bank (M&amp;T), 25 Trailers. Closing = MAX(0, Opening - Principal)</t>
      </text>
    </comment>
    <comment ref="C22" authorId="0" shapeId="0">
      <text>
        <t>Loan: Peoples Bank (M&amp;T), 25 Trailers. Source: Meiborg_Debt_Schedule_202512.xlsx</t>
      </text>
    </comment>
    <comment ref="D22" authorId="0" shapeId="0">
      <text>
        <t>Loan: Peoples Bank (M&amp;T), 25 Trailers. Interest = MAX(0, Opening * Rate/12)</t>
      </text>
    </comment>
    <comment ref="E22" authorId="0" shapeId="0">
      <text>
        <t>Loan: Peoples Bank (M&amp;T), 25 Trailers. Principal = MAX(0, MIN(Opening, Payment - Interest))</t>
      </text>
    </comment>
    <comment ref="F22" authorId="0" shapeId="0">
      <text>
        <t>Loan: Peoples Bank (M&amp;T), 25 Trailers. Closing = MAX(0, Opening - Principal)</t>
      </text>
    </comment>
    <comment ref="C23" authorId="0" shapeId="0">
      <text>
        <t>Loan: Peoples Bank (M&amp;T), 25 Trailers. Source: Meiborg_Debt_Schedule_202512.xlsx</t>
      </text>
    </comment>
    <comment ref="D23" authorId="0" shapeId="0">
      <text>
        <t>Loan: Peoples Bank (M&amp;T), 25 Trailers. Interest = MAX(0, Opening * Rate/12)</t>
      </text>
    </comment>
    <comment ref="E23" authorId="0" shapeId="0">
      <text>
        <t>Loan: Peoples Bank (M&amp;T), 25 Trailers. Principal = MAX(0, MIN(Opening, Payment - Interest))</t>
      </text>
    </comment>
    <comment ref="F23" authorId="0" shapeId="0">
      <text>
        <t>Loan: Peoples Bank (M&amp;T), 25 Trailers. Closing = MAX(0, Opening - Principal)</t>
      </text>
    </comment>
    <comment ref="C24" authorId="0" shapeId="0">
      <text>
        <t>Loan: Peoples Bank (M&amp;T), 25 Trailers. Source: Meiborg_Debt_Schedule_202512.xlsx</t>
      </text>
    </comment>
    <comment ref="D24" authorId="0" shapeId="0">
      <text>
        <t>Loan: Peoples Bank (M&amp;T), 25 Trailers. Interest = MAX(0, Opening * Rate/12)</t>
      </text>
    </comment>
    <comment ref="E24" authorId="0" shapeId="0">
      <text>
        <t>Loan: Peoples Bank (M&amp;T), 25 Trailers. Principal = MAX(0, MIN(Opening, Payment - Interest))</t>
      </text>
    </comment>
    <comment ref="F24" authorId="0" shapeId="0">
      <text>
        <t>Loan: Peoples Bank (M&amp;T), 25 Trailers. Closing = MAX(0, Opening - Principal)</t>
      </text>
    </comment>
    <comment ref="C25" authorId="0" shapeId="0">
      <text>
        <t>Loan: Peoples Bank (M&amp;T), 25 Trailers. Source: Meiborg_Debt_Schedule_202512.xlsx</t>
      </text>
    </comment>
    <comment ref="D25" authorId="0" shapeId="0">
      <text>
        <t>Loan: Peoples Bank (M&amp;T), 25 Trailers. Interest = MAX(0, Opening * Rate/12)</t>
      </text>
    </comment>
    <comment ref="E25" authorId="0" shapeId="0">
      <text>
        <t>Loan: Peoples Bank (M&amp;T), 25 Trailers. Principal = MAX(0, MIN(Opening, Payment - Interest))</t>
      </text>
    </comment>
    <comment ref="F25" authorId="0" shapeId="0">
      <text>
        <t>Loan: Peoples Bank (M&amp;T), 25 Trailers. Closing = MAX(0, Opening - Principal)</t>
      </text>
    </comment>
    <comment ref="C26" authorId="0" shapeId="0">
      <text>
        <t>Loan: Peoples Bank (M&amp;T), 25 Trailers. Source: Meiborg_Debt_Schedule_202512.xlsx</t>
      </text>
    </comment>
    <comment ref="D26" authorId="0" shapeId="0">
      <text>
        <t>Loan: Peoples Bank (M&amp;T), 25 Trailers. Interest = MAX(0, Opening * Rate/12)</t>
      </text>
    </comment>
    <comment ref="E26" authorId="0" shapeId="0">
      <text>
        <t>Loan: Peoples Bank (M&amp;T), 25 Trailers. Principal = MAX(0, MIN(Opening, Payment - Interest))</t>
      </text>
    </comment>
    <comment ref="F26" authorId="0" shapeId="0">
      <text>
        <t>Loan: Peoples Bank (M&amp;T), 25 Trailers. Closing = MAX(0, Opening - Principal)</t>
      </text>
    </comment>
    <comment ref="C27" authorId="0" shapeId="0">
      <text>
        <t>Loan: Peoples Bank (M&amp;T), 25 Trailers. Source: Meiborg_Debt_Schedule_202512.xlsx</t>
      </text>
    </comment>
    <comment ref="D27" authorId="0" shapeId="0">
      <text>
        <t>Loan: Peoples Bank (M&amp;T), 25 Trailers. Interest = MAX(0, Opening * Rate/12)</t>
      </text>
    </comment>
    <comment ref="E27" authorId="0" shapeId="0">
      <text>
        <t>Loan: Peoples Bank (M&amp;T), 25 Trailers. Principal = MAX(0, MIN(Opening, Payment - Interest))</t>
      </text>
    </comment>
    <comment ref="F27" authorId="0" shapeId="0">
      <text>
        <t>Loan: Peoples Bank (M&amp;T), 25 Trailers. Closing = MAX(0, Opening - Principal)</t>
      </text>
    </comment>
    <comment ref="C28" authorId="0" shapeId="0">
      <text>
        <t>Loan: Peoples Bank (M&amp;T), 25 Trailers. Source: Meiborg_Debt_Schedule_202512.xlsx</t>
      </text>
    </comment>
    <comment ref="D28" authorId="0" shapeId="0">
      <text>
        <t>Loan: Peoples Bank (M&amp;T), 25 Trailers. Interest = MAX(0, Opening * Rate/12)</t>
      </text>
    </comment>
    <comment ref="E28" authorId="0" shapeId="0">
      <text>
        <t>Loan: Peoples Bank (M&amp;T), 25 Trailers. Principal = MAX(0, MIN(Opening, Payment - Interest))</t>
      </text>
    </comment>
    <comment ref="F28" authorId="0" shapeId="0">
      <text>
        <t>Loan: Peoples Bank (M&amp;T), 25 Trailers. Closing = MAX(0, Opening - Principal)</t>
      </text>
    </comment>
    <comment ref="C29" authorId="0" shapeId="0">
      <text>
        <t>Loan: Peoples Bank (M&amp;T), 25 Trailers. Source: Meiborg_Debt_Schedule_202512.xlsx</t>
      </text>
    </comment>
    <comment ref="D29" authorId="0" shapeId="0">
      <text>
        <t>Loan: Peoples Bank (M&amp;T), 25 Trailers. Interest = MAX(0, Opening * Rate/12)</t>
      </text>
    </comment>
    <comment ref="E29" authorId="0" shapeId="0">
      <text>
        <t>Loan: Peoples Bank (M&amp;T), 25 Trailers. Principal = MAX(0, MIN(Opening, Payment - Interest))</t>
      </text>
    </comment>
    <comment ref="F29" authorId="0" shapeId="0">
      <text>
        <t>Loan: Peoples Bank (M&amp;T), 25 Trailers. Closing = MAX(0, Opening - Principal)</t>
      </text>
    </comment>
    <comment ref="C30" authorId="0" shapeId="0">
      <text>
        <t>Loan: Peoples Bank (M&amp;T), 25 Trailers. Source: Meiborg_Debt_Schedule_202512.xlsx</t>
      </text>
    </comment>
    <comment ref="D30" authorId="0" shapeId="0">
      <text>
        <t>Loan: Peoples Bank (M&amp;T), 25 Trailers. Interest = MAX(0, Opening * Rate/12)</t>
      </text>
    </comment>
    <comment ref="E30" authorId="0" shapeId="0">
      <text>
        <t>Loan: Peoples Bank (M&amp;T), 25 Trailers. Principal = MAX(0, MIN(Opening, Payment - Interest))</t>
      </text>
    </comment>
    <comment ref="F30" authorId="0" shapeId="0">
      <text>
        <t>Loan: Peoples Bank (M&amp;T), 25 Trailers. Closing = MAX(0, Opening - Principal)</t>
      </text>
    </comment>
    <comment ref="C31" authorId="0" shapeId="0">
      <text>
        <t>Loan: Peoples Bank (M&amp;T), 25 Trailers. Source: Meiborg_Debt_Schedule_202512.xlsx</t>
      </text>
    </comment>
    <comment ref="D31" authorId="0" shapeId="0">
      <text>
        <t>Loan: Peoples Bank (M&amp;T), 25 Trailers. Interest = MAX(0, Opening * Rate/12)</t>
      </text>
    </comment>
    <comment ref="E31" authorId="0" shapeId="0">
      <text>
        <t>Loan: Peoples Bank (M&amp;T), 25 Trailers. Principal = MAX(0, MIN(Opening, Payment - Interest))</t>
      </text>
    </comment>
    <comment ref="F31" authorId="0" shapeId="0">
      <text>
        <t>Loan: Peoples Bank (M&amp;T), 25 Trailers. Closing = MAX(0, Opening - Principal)</t>
      </text>
    </comment>
    <comment ref="C32" authorId="0" shapeId="0">
      <text>
        <t>Loan: Peoples Bank (M&amp;T), 25 Trailers. Source: Meiborg_Debt_Schedule_202512.xlsx</t>
      </text>
    </comment>
    <comment ref="D32" authorId="0" shapeId="0">
      <text>
        <t>Loan: Peoples Bank (M&amp;T), 25 Trailers. Interest = MAX(0, Opening * Rate/12)</t>
      </text>
    </comment>
    <comment ref="E32" authorId="0" shapeId="0">
      <text>
        <t>Loan: Peoples Bank (M&amp;T), 25 Trailers. Principal = MAX(0, MIN(Opening, Payment - Interest))</t>
      </text>
    </comment>
    <comment ref="F32" authorId="0" shapeId="0">
      <text>
        <t>Loan: Peoples Bank (M&amp;T), 25 Trailers. Closing = MAX(0, Opening - Principal)</t>
      </text>
    </comment>
    <comment ref="C33" authorId="0" shapeId="0">
      <text>
        <t>Loan: Peoples Bank (M&amp;T), 25 Trailers. Source: Meiborg_Debt_Schedule_202512.xlsx</t>
      </text>
    </comment>
    <comment ref="D33" authorId="0" shapeId="0">
      <text>
        <t>Loan: Peoples Bank (M&amp;T), 25 Trailers. Interest = MAX(0, Opening * Rate/12)</t>
      </text>
    </comment>
    <comment ref="E33" authorId="0" shapeId="0">
      <text>
        <t>Loan: Peoples Bank (M&amp;T), 25 Trailers. Principal = MAX(0, MIN(Opening, Payment - Interest))</t>
      </text>
    </comment>
    <comment ref="F33" authorId="0" shapeId="0">
      <text>
        <t>Loan: Peoples Bank (M&amp;T), 25 Trailers. Closing = MAX(0, Opening - Principal)</t>
      </text>
    </comment>
    <comment ref="C34" authorId="0" shapeId="0">
      <text>
        <t>Loan: Peoples Bank (M&amp;T), 25 Trailers. Source: Meiborg_Debt_Schedule_202512.xlsx</t>
      </text>
    </comment>
    <comment ref="D34" authorId="0" shapeId="0">
      <text>
        <t>Loan: Peoples Bank (M&amp;T), 25 Trailers. Interest = MAX(0, Opening * Rate/12)</t>
      </text>
    </comment>
    <comment ref="E34" authorId="0" shapeId="0">
      <text>
        <t>Loan: Peoples Bank (M&amp;T), 25 Trailers. Principal = MAX(0, MIN(Opening, Payment - Interest))</t>
      </text>
    </comment>
    <comment ref="F34" authorId="0" shapeId="0">
      <text>
        <t>Loan: Peoples Bank (M&amp;T), 25 Trailers. Closing = MAX(0, Opening - Principal)</t>
      </text>
    </comment>
    <comment ref="C35" authorId="0" shapeId="0">
      <text>
        <t>Loan: Peoples Bank (M&amp;T), 25 Trailers. Source: Meiborg_Debt_Schedule_202512.xlsx</t>
      </text>
    </comment>
    <comment ref="D35" authorId="0" shapeId="0">
      <text>
        <t>Loan: Peoples Bank (M&amp;T), 25 Trailers. Interest = MAX(0, Opening * Rate/12)</t>
      </text>
    </comment>
    <comment ref="E35" authorId="0" shapeId="0">
      <text>
        <t>Loan: Peoples Bank (M&amp;T), 25 Trailers. Principal = MAX(0, MIN(Opening, Payment - Interest))</t>
      </text>
    </comment>
    <comment ref="F35" authorId="0" shapeId="0">
      <text>
        <t>Loan: Peoples Bank (M&amp;T), 25 Trailers. Closing = MAX(0, Opening - Principal)</t>
      </text>
    </comment>
    <comment ref="C36" authorId="0" shapeId="0">
      <text>
        <t>Loan: Peoples Bank (M&amp;T), 25 Trailers. Source: Meiborg_Debt_Schedule_202512.xlsx</t>
      </text>
    </comment>
    <comment ref="D36" authorId="0" shapeId="0">
      <text>
        <t>Loan: Peoples Bank (M&amp;T), 25 Trailers. Interest = MAX(0, Opening * Rate/12)</t>
      </text>
    </comment>
    <comment ref="E36" authorId="0" shapeId="0">
      <text>
        <t>Loan: Peoples Bank (M&amp;T), 25 Trailers. Principal = MAX(0, MIN(Opening, Payment - Interest))</t>
      </text>
    </comment>
    <comment ref="F36" authorId="0" shapeId="0">
      <text>
        <t>Loan: Peoples Bank (M&amp;T), 25 Trailers. Closing = MAX(0, Opening - Principal)</t>
      </text>
    </comment>
    <comment ref="C37" authorId="0" shapeId="0">
      <text>
        <t>Loan: Peoples Bank (M&amp;T), 25 Trailers. Source: Meiborg_Debt_Schedule_202512.xlsx</t>
      </text>
    </comment>
    <comment ref="D37" authorId="0" shapeId="0">
      <text>
        <t>Loan: Peoples Bank (M&amp;T), 25 Trailers. Interest = MAX(0, Opening * Rate/12)</t>
      </text>
    </comment>
    <comment ref="E37" authorId="0" shapeId="0">
      <text>
        <t>Loan: Peoples Bank (M&amp;T), 25 Trailers. Principal = MAX(0, MIN(Opening, Payment - Interest))</t>
      </text>
    </comment>
    <comment ref="F37" authorId="0" shapeId="0">
      <text>
        <t>Loan: Peoples Bank (M&amp;T), 25 Trailers. Closing = MAX(0, Opening - Principal)</t>
      </text>
    </comment>
    <comment ref="C38" authorId="0" shapeId="0">
      <text>
        <t>Loan: Peoples Bank (M&amp;T), 25 Trailers. Source: Meiborg_Debt_Schedule_202512.xlsx</t>
      </text>
    </comment>
    <comment ref="D38" authorId="0" shapeId="0">
      <text>
        <t>Loan: Peoples Bank (M&amp;T), 25 Trailers. Interest = MAX(0, Opening * Rate/12)</t>
      </text>
    </comment>
    <comment ref="E38" authorId="0" shapeId="0">
      <text>
        <t>Loan: Peoples Bank (M&amp;T), 25 Trailers. Principal = MAX(0, MIN(Opening, Payment - Interest))</t>
      </text>
    </comment>
    <comment ref="F38" authorId="0" shapeId="0">
      <text>
        <t>Loan: Peoples Bank (M&amp;T), 25 Trailers. Closing = MAX(0, Opening - Principal)</t>
      </text>
    </comment>
    <comment ref="C39" authorId="0" shapeId="0">
      <text>
        <t>Loan: Peoples Bank (M&amp;T), 25 Trailers. Source: Meiborg_Debt_Schedule_202512.xlsx</t>
      </text>
    </comment>
    <comment ref="D39" authorId="0" shapeId="0">
      <text>
        <t>Loan: Peoples Bank (M&amp;T), 25 Trailers. Interest = MAX(0, Opening * Rate/12)</t>
      </text>
    </comment>
    <comment ref="E39" authorId="0" shapeId="0">
      <text>
        <t>Loan: Peoples Bank (M&amp;T), 25 Trailers. Principal = MAX(0, MIN(Opening, Payment - Interest))</t>
      </text>
    </comment>
    <comment ref="F39" authorId="0" shapeId="0">
      <text>
        <t>Loan: Peoples Bank (M&amp;T), 25 Trailers. Closing = MAX(0, Opening - Principal)</t>
      </text>
    </comment>
    <comment ref="C40" authorId="0" shapeId="0">
      <text>
        <t>Loan: Peoples Bank (M&amp;T), 25 Trailers. Source: Meiborg_Debt_Schedule_202512.xlsx</t>
      </text>
    </comment>
    <comment ref="D40" authorId="0" shapeId="0">
      <text>
        <t>Loan: Peoples Bank (M&amp;T), 25 Trailers. Interest = MAX(0, Opening * Rate/12)</t>
      </text>
    </comment>
    <comment ref="E40" authorId="0" shapeId="0">
      <text>
        <t>Loan: Peoples Bank (M&amp;T), 25 Trailers. Principal = MAX(0, MIN(Opening, Payment - Interest))</t>
      </text>
    </comment>
    <comment ref="F40" authorId="0" shapeId="0">
      <text>
        <t>Loan: Peoples Bank (M&amp;T), 25 Trailers. Closing = MAX(0, Opening - Principal)</t>
      </text>
    </comment>
    <comment ref="C41" authorId="0" shapeId="0">
      <text>
        <t>Loan: Peoples Bank (M&amp;T), 25 Trailers. Source: Meiborg_Debt_Schedule_202512.xlsx</t>
      </text>
    </comment>
    <comment ref="D41" authorId="0" shapeId="0">
      <text>
        <t>Loan: Peoples Bank (M&amp;T), 25 Trailers. Interest = MAX(0, Opening * Rate/12)</t>
      </text>
    </comment>
    <comment ref="E41" authorId="0" shapeId="0">
      <text>
        <t>Loan: Peoples Bank (M&amp;T), 25 Trailers. Principal = MAX(0, MIN(Opening, Payment - Interest))</t>
      </text>
    </comment>
    <comment ref="F41" authorId="0" shapeId="0">
      <text>
        <t>Loan: Peoples Bank (M&amp;T), 25 Trailers. Closing = MAX(0, Opening - Principal)</t>
      </text>
    </comment>
    <comment ref="C42" authorId="0" shapeId="0">
      <text>
        <t>Loan: Peoples Bank (M&amp;T), 25 Trailers. Source: Meiborg_Debt_Schedule_202512.xlsx</t>
      </text>
    </comment>
    <comment ref="D42" authorId="0" shapeId="0">
      <text>
        <t>Loan: Peoples Bank (M&amp;T), 25 Trailers. Interest = MAX(0, Opening * Rate/12)</t>
      </text>
    </comment>
    <comment ref="E42" authorId="0" shapeId="0">
      <text>
        <t>Loan: Peoples Bank (M&amp;T), 25 Trailers. Principal = MAX(0, MIN(Opening, Payment - Interest))</t>
      </text>
    </comment>
    <comment ref="F42" authorId="0" shapeId="0">
      <text>
        <t>Loan: Peoples Bank (M&amp;T), 25 Trailers. Closing = MAX(0, Opening - Principal)</t>
      </text>
    </comment>
    <comment ref="C43" authorId="0" shapeId="0">
      <text>
        <t>Loan: Peoples Bank (M&amp;T), 25 Trailers. Source: Meiborg_Debt_Schedule_202512.xlsx</t>
      </text>
    </comment>
    <comment ref="D43" authorId="0" shapeId="0">
      <text>
        <t>Loan: Peoples Bank (M&amp;T), 25 Trailers. Interest = MAX(0, Opening * Rate/12)</t>
      </text>
    </comment>
    <comment ref="E43" authorId="0" shapeId="0">
      <text>
        <t>Loan: Peoples Bank (M&amp;T), 25 Trailers. Principal = MAX(0, MIN(Opening, Payment - Interest))</t>
      </text>
    </comment>
    <comment ref="F43" authorId="0" shapeId="0">
      <text>
        <t>Loan: Peoples Bank (M&amp;T), 25 Trailers. Closing = MAX(0, Opening - Principal)</t>
      </text>
    </comment>
    <comment ref="C44" authorId="0" shapeId="0">
      <text>
        <t>Loan: Peoples Bank (M&amp;T), 25 Trailers. Source: Meiborg_Debt_Schedule_202512.xlsx</t>
      </text>
    </comment>
    <comment ref="D44" authorId="0" shapeId="0">
      <text>
        <t>Loan: Peoples Bank (M&amp;T), 25 Trailers. Interest = MAX(0, Opening * Rate/12)</t>
      </text>
    </comment>
    <comment ref="E44" authorId="0" shapeId="0">
      <text>
        <t>Loan: Peoples Bank (M&amp;T), 25 Trailers. Principal = MAX(0, MIN(Opening, Payment - Interest))</t>
      </text>
    </comment>
    <comment ref="F44" authorId="0" shapeId="0">
      <text>
        <t>Loan: Peoples Bank (M&amp;T), 25 Trailers. Closing = MAX(0, Opening - Principal)</t>
      </text>
    </comment>
    <comment ref="C45" authorId="0" shapeId="0">
      <text>
        <t>Loan: Peoples Bank (M&amp;T), 25 Trailers. Source: Meiborg_Debt_Schedule_202512.xlsx</t>
      </text>
    </comment>
    <comment ref="D45" authorId="0" shapeId="0">
      <text>
        <t>Loan: Peoples Bank (M&amp;T), 25 Trailers. Interest = MAX(0, Opening * Rate/12)</t>
      </text>
    </comment>
    <comment ref="E45" authorId="0" shapeId="0">
      <text>
        <t>Loan: Peoples Bank (M&amp;T), 25 Trailers. Principal = MAX(0, MIN(Opening, Payment - Interest))</t>
      </text>
    </comment>
    <comment ref="F45" authorId="0" shapeId="0">
      <text>
        <t>Loan: Peoples Bank (M&amp;T), 25 Trailers. Closing = MAX(0, Opening - Principal)</t>
      </text>
    </comment>
    <comment ref="C49" authorId="0" shapeId="0">
      <text>
        <t>Sum of rows 18-29: Annual opening balance for 2026</t>
      </text>
    </comment>
    <comment ref="D49" authorId="0" shapeId="0">
      <text>
        <t>Sum of rows 18-29: Annual interest for 2026</t>
      </text>
    </comment>
    <comment ref="E49" authorId="0" shapeId="0">
      <text>
        <t>Sum of rows 18-29: Annual principal for 2026</t>
      </text>
    </comment>
    <comment ref="F49" authorId="0" shapeId="0">
      <text>
        <t>Sum of rows 18-29: Annual closing balance for 2026</t>
      </text>
    </comment>
    <comment ref="C50" authorId="0" shapeId="0">
      <text>
        <t>Sum of rows 30-41: Annual opening balance for 2027</t>
      </text>
    </comment>
    <comment ref="D50" authorId="0" shapeId="0">
      <text>
        <t>Sum of rows 30-41: Annual interest for 2027</t>
      </text>
    </comment>
    <comment ref="E50" authorId="0" shapeId="0">
      <text>
        <t>Sum of rows 30-41: Annual principal for 2027</t>
      </text>
    </comment>
    <comment ref="F50" authorId="0" shapeId="0">
      <text>
        <t>Sum of rows 30-41: Annual closing balance for 2027</t>
      </text>
    </comment>
    <comment ref="C51" authorId="0" shapeId="0">
      <text>
        <t>Sum of rows 42-45: Annual opening balance for 2028</t>
      </text>
    </comment>
    <comment ref="D51" authorId="0" shapeId="0">
      <text>
        <t>Sum of rows 42-45: Annual interest for 2028</t>
      </text>
    </comment>
    <comment ref="E51" authorId="0" shapeId="0">
      <text>
        <t>Sum of rows 42-45: Annual principal for 2028</t>
      </text>
    </comment>
    <comment ref="F51" authorId="0" shapeId="0">
      <text>
        <t>Sum of rows 42-45: Annual closing balance for 2028</t>
      </text>
    </comment>
  </commentList>
</comments>
</file>

<file path=xl/comments/comment89.xml><?xml version="1.0" encoding="utf-8"?>
<comments xmlns="http://schemas.openxmlformats.org/spreadsheetml/2006/main">
  <authors>
    <author>Model Builder</author>
  </authors>
  <commentList>
    <comment ref="B7" authorId="0" shapeId="0">
      <text>
        <t>Source: 13 Year Summary Financials.xlsx / Meiborg_YTD_BS_2025_12.pdf</t>
      </text>
    </comment>
    <comment ref="C7" authorId="0" shapeId="0">
      <text>
        <t>Source: 13 Year Summary Financials.xlsx / Meiborg_YTD_BS_2025_12.pdf</t>
      </text>
    </comment>
    <comment ref="D7" authorId="0" shapeId="0">
      <text>
        <t>Source: 13 Year Summary Financials.xlsx / Meiborg_YTD_BS_2025_12.pdf</t>
      </text>
    </comment>
    <comment ref="E7" authorId="0" shapeId="0">
      <text>
        <t>Source: 13 Year Summary Financials.xlsx / Meiborg_YTD_BS_2025_12.pdf</t>
      </text>
    </comment>
    <comment ref="F7" authorId="0" shapeId="0">
      <text>
        <t>Links to: Cash Flow row 35 - Ending Cash. Cash is derived from CF.</t>
      </text>
    </comment>
    <comment ref="G7" authorId="0" shapeId="0">
      <text>
        <t>Links to: Cash Flow row 35 - Ending Cash. Cash is derived from CF.</t>
      </text>
    </comment>
    <comment ref="H7" authorId="0" shapeId="0">
      <text>
        <t>Links to: Cash Flow row 35 - Ending Cash. Cash is derived from CF.</t>
      </text>
    </comment>
    <comment ref="B8" authorId="0" shapeId="0">
      <text>
        <t>Source: 13 Year Summary Financials.xlsx / Meiborg_YTD_BS_2025_12.pdf</t>
      </text>
    </comment>
    <comment ref="C8" authorId="0" shapeId="0">
      <text>
        <t>Source: 13 Year Summary Financials.xlsx / Meiborg_YTD_BS_2025_12.pdf</t>
      </text>
    </comment>
    <comment ref="D8" authorId="0" shapeId="0">
      <text>
        <t>Source: 13 Year Summary Financials.xlsx / Meiborg_YTD_BS_2025_12.pdf</t>
      </text>
    </comment>
    <comment ref="E8" authorId="0" shapeId="0">
      <text>
        <t>Source: 13 Year Summary Financials.xlsx / Meiborg_YTD_BS_2025_12.pdf</t>
      </text>
    </comment>
    <comment ref="F8" authorId="0" shapeId="0">
      <text>
        <t>Projection: A/R = Projected Revenue / 365 * A/R Days. Source: Assumptions rows 17 &amp; 48.</t>
      </text>
    </comment>
    <comment ref="G8" authorId="0" shapeId="0">
      <text>
        <t>Projection: A/R = Projected Revenue / 365 * A/R Days. Source: Assumptions rows 17 &amp; 48.</t>
      </text>
    </comment>
    <comment ref="H8" authorId="0" shapeId="0">
      <text>
        <t>Projection: A/R = Projected Revenue / 365 * A/R Days. Source: Assumptions rows 17 &amp; 48.</t>
      </text>
    </comment>
    <comment ref="E9" authorId="0" shapeId="0">
      <text>
        <t>Source: Meiborg_YTD_BS_2025_12.pdf</t>
      </text>
    </comment>
    <comment ref="F9" authorId="0" shapeId="0">
      <text>
        <t>Projection: Held flat from prior year.</t>
      </text>
    </comment>
    <comment ref="G9" authorId="0" shapeId="0">
      <text>
        <t>Projection: Held flat from prior year.</t>
      </text>
    </comment>
    <comment ref="H9" authorId="0" shapeId="0">
      <text>
        <t>Projection: Held flat from prior year.</t>
      </text>
    </comment>
    <comment ref="B10" authorId="0" shapeId="0">
      <text>
        <t>Source: 13 Year Summary Financials.xlsx / Meiborg_YTD_BS_2025_12.pdf</t>
      </text>
    </comment>
    <comment ref="C10" authorId="0" shapeId="0">
      <text>
        <t>Source: 13 Year Summary Financials.xlsx / Meiborg_YTD_BS_2025_12.pdf</t>
      </text>
    </comment>
    <comment ref="D10" authorId="0" shapeId="0">
      <text>
        <t>Source: 13 Year Summary Financials.xlsx / Meiborg_YTD_BS_2025_12.pdf</t>
      </text>
    </comment>
    <comment ref="E10" authorId="0" shapeId="0">
      <text>
        <t>Source: 13 Year Summary Financials.xlsx / Meiborg_YTD_BS_2025_12.pdf</t>
      </text>
    </comment>
    <comment ref="F10" authorId="0" shapeId="0">
      <text>
        <t>Projection: Inventory = COGS / 365 * Inventory Days. COGS = Revenue * (1-GM). Source: Assumptions rows 17, 27, 49.</t>
      </text>
    </comment>
    <comment ref="G10" authorId="0" shapeId="0">
      <text>
        <t>Projection: Inventory = COGS / 365 * Inventory Days. COGS = Revenue * (1-GM). Source: Assumptions rows 17, 27, 49.</t>
      </text>
    </comment>
    <comment ref="H10" authorId="0" shapeId="0">
      <text>
        <t>Projection: Inventory = COGS / 365 * Inventory Days. COGS = Revenue * (1-GM). Source: Assumptions rows 17, 27, 49.</t>
      </text>
    </comment>
    <comment ref="E11" authorId="0" shapeId="0">
      <text>
        <t>Source: Meiborg_YTD_BS_2025_12.pdf</t>
      </text>
    </comment>
    <comment ref="F11" authorId="0" shapeId="0">
      <text>
        <t>Projection: Held flat from prior year.</t>
      </text>
    </comment>
    <comment ref="G11" authorId="0" shapeId="0">
      <text>
        <t>Projection: Held flat from prior year.</t>
      </text>
    </comment>
    <comment ref="H11" authorId="0" shapeId="0">
      <text>
        <t>Projection: Held flat from prior year.</t>
      </text>
    </comment>
    <comment ref="B12" authorId="0" shapeId="0">
      <text>
        <t>Source: 13 Year Summary Financials.xlsx / Meiborg_YTD_BS_2025_12.pdf</t>
      </text>
    </comment>
    <comment ref="C12" authorId="0" shapeId="0">
      <text>
        <t>Source: 13 Year Summary Financials.xlsx / Meiborg_YTD_BS_2025_12.pdf</t>
      </text>
    </comment>
    <comment ref="D12" authorId="0" shapeId="0">
      <text>
        <t>Source: 13 Year Summary Financials.xlsx / Meiborg_YTD_BS_2025_12.pdf</t>
      </text>
    </comment>
    <comment ref="E12" authorId="0" shapeId="0">
      <text>
        <t>Source: 13 Year Summary Financials.xlsx / Meiborg_YTD_BS_2025_12.pdf</t>
      </text>
    </comment>
    <comment ref="F12" authorId="0" shapeId="0">
      <text>
        <t>Projection: Held flat from prior year.</t>
      </text>
    </comment>
    <comment ref="G12" authorId="0" shapeId="0">
      <text>
        <t>Projection: Held flat from prior year.</t>
      </text>
    </comment>
    <comment ref="H12" authorId="0" shapeId="0">
      <text>
        <t>Projection: Held flat from prior year.</t>
      </text>
    </comment>
    <comment ref="B13" authorId="0" shapeId="0">
      <text>
        <t>Sum of rows 7-12: Current Assets</t>
      </text>
    </comment>
    <comment ref="C13" authorId="0" shapeId="0">
      <text>
        <t>Sum of rows 7-12: Current Assets</t>
      </text>
    </comment>
    <comment ref="D13" authorId="0" shapeId="0">
      <text>
        <t>Sum of rows 7-12: Current Assets</t>
      </text>
    </comment>
    <comment ref="E13" authorId="0" shapeId="0">
      <text>
        <t>Sum of rows 7-12: Current Assets</t>
      </text>
    </comment>
    <comment ref="F13" authorId="0" shapeId="0">
      <text>
        <t>Sum of rows 7-12: Cash, A/R, Notes Rec Current, Inventories, Prepaid, Other CA.</t>
      </text>
    </comment>
    <comment ref="G13" authorId="0" shapeId="0">
      <text>
        <t>Sum of rows 7-12: Cash, A/R, Notes Rec Current, Inventories, Prepaid, Other CA.</t>
      </text>
    </comment>
    <comment ref="H13" authorId="0" shapeId="0">
      <text>
        <t>Sum of rows 7-12: Cash, A/R, Notes Rec Current, Inventories, Prepaid, Other CA.</t>
      </text>
    </comment>
    <comment ref="E16" authorId="0" shapeId="0">
      <text>
        <t>Source: Meiborg_YTD_BS_2025_12.pdf. 2022-2024: Only Net PP&amp;E available.</t>
      </text>
    </comment>
    <comment ref="F16" authorId="0" shapeId="0">
      <text>
        <t>Projection: Prior Gross Fixed Assets + CapEx. CapEx = Revenue * CapEx %. Source: Assumptions rows 17 &amp; 39.</t>
      </text>
    </comment>
    <comment ref="G16" authorId="0" shapeId="0">
      <text>
        <t>Projection: Prior Gross Fixed Assets + CapEx. CapEx = Revenue * CapEx %. Source: Assumptions rows 17 &amp; 39.</t>
      </text>
    </comment>
    <comment ref="H16" authorId="0" shapeId="0">
      <text>
        <t>Projection: Prior Gross Fixed Assets + CapEx. CapEx = Revenue * CapEx %. Source: Assumptions rows 17 &amp; 39.</t>
      </text>
    </comment>
    <comment ref="E17" authorId="0" shapeId="0">
      <text>
        <t>Source: Meiborg_YTD_BS_2025_12.pdf</t>
      </text>
    </comment>
    <comment ref="F17" authorId="0" shapeId="0">
      <text>
        <t>Projection: Prior Accum Depr - D&amp;A for period. D&amp;A from Assumptions row 62.</t>
      </text>
    </comment>
    <comment ref="G17" authorId="0" shapeId="0">
      <text>
        <t>Projection: Prior Accum Depr - D&amp;A for period. D&amp;A from Assumptions row 62.</t>
      </text>
    </comment>
    <comment ref="H17" authorId="0" shapeId="0">
      <text>
        <t>Projection: Prior Accum Depr - D&amp;A for period. D&amp;A from Assumptions row 62.</t>
      </text>
    </comment>
    <comment ref="B18" authorId="0" shapeId="0">
      <text>
        <t>Source: 13 Year Summary Financials.xlsx - Net PP&amp;E</t>
      </text>
    </comment>
    <comment ref="C18" authorId="0" shapeId="0">
      <text>
        <t>Source: 13 Year Summary Financials.xlsx - Net PP&amp;E</t>
      </text>
    </comment>
    <comment ref="D18" authorId="0" shapeId="0">
      <text>
        <t>Source: 13 Year Summary Financials.xlsx - Net PP&amp;E</t>
      </text>
    </comment>
    <comment ref="E18" authorId="0" shapeId="0">
      <text>
        <t>Gross Fixed Assets + Accumulated Depreciation (negative)</t>
      </text>
    </comment>
    <comment ref="F18" authorId="0" shapeId="0">
      <text>
        <t>Net Fixed Assets = Gross Fixed Assets + Accumulated Depreciation (depr is negative).</t>
      </text>
    </comment>
    <comment ref="G18" authorId="0" shapeId="0">
      <text>
        <t>Net Fixed Assets = Gross Fixed Assets + Accumulated Depreciation (depr is negative).</t>
      </text>
    </comment>
    <comment ref="H18" authorId="0" shapeId="0">
      <text>
        <t>Net Fixed Assets = Gross Fixed Assets + Accumulated Depreciation (depr is negative).</t>
      </text>
    </comment>
    <comment ref="E21" authorId="0" shapeId="0">
      <text>
        <t>Source: Meiborg_YTD_BS_2025_12.pdf</t>
      </text>
    </comment>
    <comment ref="F21" authorId="0" shapeId="0">
      <text>
        <t>Projection: Held flat from prior year.</t>
      </text>
    </comment>
    <comment ref="G21" authorId="0" shapeId="0">
      <text>
        <t>Projection: Held flat from prior year.</t>
      </text>
    </comment>
    <comment ref="H21" authorId="0" shapeId="0">
      <text>
        <t>Projection: Held flat from prior year.</t>
      </text>
    </comment>
    <comment ref="E22" authorId="0" shapeId="0">
      <text>
        <t>Source: Meiborg_YTD_BS_2025_12.pdf</t>
      </text>
    </comment>
    <comment ref="F22" authorId="0" shapeId="0">
      <text>
        <t>Projection: Held flat from prior year.</t>
      </text>
    </comment>
    <comment ref="G22" authorId="0" shapeId="0">
      <text>
        <t>Projection: Held flat from prior year.</t>
      </text>
    </comment>
    <comment ref="H22" authorId="0" shapeId="0">
      <text>
        <t>Projection: Held flat from prior year.</t>
      </text>
    </comment>
    <comment ref="E23" authorId="0" shapeId="0">
      <text>
        <t>Source: Meiborg_YTD_BS_2025_12.pdf</t>
      </text>
    </comment>
    <comment ref="F23" authorId="0" shapeId="0">
      <text>
        <t>Projection: Held flat from prior year (no new operating leases assumed).</t>
      </text>
    </comment>
    <comment ref="G23" authorId="0" shapeId="0">
      <text>
        <t>Projection: Held flat from prior year (no new operating leases assumed).</t>
      </text>
    </comment>
    <comment ref="H23" authorId="0" shapeId="0">
      <text>
        <t>Projection: Held flat from prior year (no new operating leases assumed).</t>
      </text>
    </comment>
    <comment ref="B24" authorId="0" shapeId="0">
      <text>
        <t>Source: 13 Year Summary Financials.xlsx / Meiborg_YTD_BS_2025_12.pdf</t>
      </text>
    </comment>
    <comment ref="C24" authorId="0" shapeId="0">
      <text>
        <t>Source: 13 Year Summary Financials.xlsx / Meiborg_YTD_BS_2025_12.pdf</t>
      </text>
    </comment>
    <comment ref="D24" authorId="0" shapeId="0">
      <text>
        <t>Source: 13 Year Summary Financials.xlsx / Meiborg_YTD_BS_2025_12.pdf</t>
      </text>
    </comment>
    <comment ref="E24" authorId="0" shapeId="0">
      <text>
        <t>Source: 13 Year Summary Financials.xlsx / Meiborg_YTD_BS_2025_12.pdf</t>
      </text>
    </comment>
    <comment ref="F24" authorId="0" shapeId="0">
      <text>
        <t>Projection: Held flat from prior year.</t>
      </text>
    </comment>
    <comment ref="G24" authorId="0" shapeId="0">
      <text>
        <t>Projection: Held flat from prior year.</t>
      </text>
    </comment>
    <comment ref="H24" authorId="0" shapeId="0">
      <text>
        <t>Projection: Held flat from prior year.</t>
      </text>
    </comment>
    <comment ref="B25" authorId="0" shapeId="0">
      <text>
        <t>Source: 13 Year Summary Financials.xlsx - Combined Notes Rec</t>
      </text>
    </comment>
    <comment ref="C25" authorId="0" shapeId="0">
      <text>
        <t>Source: 13 Year Summary Financials.xlsx - Combined Notes Rec</t>
      </text>
    </comment>
    <comment ref="D25" authorId="0" shapeId="0">
      <text>
        <t>Source: 13 Year Summary Financials.xlsx - Combined Notes Rec</t>
      </text>
    </comment>
    <comment ref="B26" authorId="0" shapeId="0">
      <text>
        <t>Sum of Other Assets + Notes Receivable</t>
      </text>
    </comment>
    <comment ref="C26" authorId="0" shapeId="0">
      <text>
        <t>Sum of Other Assets + Notes Receivable</t>
      </text>
    </comment>
    <comment ref="D26" authorId="0" shapeId="0">
      <text>
        <t>Sum of Other Assets + Notes Receivable</t>
      </text>
    </comment>
    <comment ref="E26" authorId="0" shapeId="0">
      <text>
        <t>Sum of rows 21-24: Other Assets</t>
      </text>
    </comment>
    <comment ref="F26" authorId="0" shapeId="0">
      <text>
        <t>Sum of rows 21-24: Notes Rec LT, Notes Rec Related Party, ROU Asset, Other Assets.</t>
      </text>
    </comment>
    <comment ref="G26" authorId="0" shapeId="0">
      <text>
        <t>Sum of rows 21-24: Notes Rec LT, Notes Rec Related Party, ROU Asset, Other Assets.</t>
      </text>
    </comment>
    <comment ref="H26" authorId="0" shapeId="0">
      <text>
        <t>Sum of rows 21-24: Notes Rec LT, Notes Rec Related Party, ROU Asset, Other Assets.</t>
      </text>
    </comment>
    <comment ref="B28" authorId="0" shapeId="0">
      <text>
        <t>Total Current Assets + Net Fixed Assets + Total Other Assets</t>
      </text>
    </comment>
    <comment ref="C28" authorId="0" shapeId="0">
      <text>
        <t>Total Current Assets + Net Fixed Assets + Total Other Assets</t>
      </text>
    </comment>
    <comment ref="D28" authorId="0" shapeId="0">
      <text>
        <t>Total Current Assets + Net Fixed Assets + Total Other Assets</t>
      </text>
    </comment>
    <comment ref="E28" authorId="0" shapeId="0">
      <text>
        <t>Total Current Assets + Net Fixed Assets + Total Other Assets</t>
      </text>
    </comment>
    <comment ref="F28" authorId="0" shapeId="0">
      <text>
        <t>Total Assets = Total Current Assets + Net Fixed Assets + Total Other Assets.</t>
      </text>
    </comment>
    <comment ref="G28" authorId="0" shapeId="0">
      <text>
        <t>Total Assets = Total Current Assets + Net Fixed Assets + Total Other Assets.</t>
      </text>
    </comment>
    <comment ref="H28" authorId="0" shapeId="0">
      <text>
        <t>Total Assets = Total Current Assets + Net Fixed Assets + Total Other Assets.</t>
      </text>
    </comment>
    <comment ref="B32" authorId="0" shapeId="0">
      <text>
        <t>Source: 13 Year Summary Financials.xlsx / Meiborg_YTD_BS_2025_12.pdf</t>
      </text>
    </comment>
    <comment ref="C32" authorId="0" shapeId="0">
      <text>
        <t>Source: 13 Year Summary Financials.xlsx / Meiborg_YTD_BS_2025_12.pdf</t>
      </text>
    </comment>
    <comment ref="D32" authorId="0" shapeId="0">
      <text>
        <t>Source: 13 Year Summary Financials.xlsx / Meiborg_YTD_BS_2025_12.pdf</t>
      </text>
    </comment>
    <comment ref="E32" authorId="0" shapeId="0">
      <text>
        <t>Source: 13 Year Summary Financials.xlsx / Meiborg_YTD_BS_2025_12.pdf</t>
      </text>
    </comment>
    <comment ref="F32" authorId="0" shapeId="0">
      <text>
        <t>Projection: LOC assumed $0 (not drawn).</t>
      </text>
    </comment>
    <comment ref="G32" authorId="0" shapeId="0">
      <text>
        <t>Projection: LOC assumed $0 (not drawn).</t>
      </text>
    </comment>
    <comment ref="H32" authorId="0" shapeId="0">
      <text>
        <t>Projection: LOC assumed $0 (not drawn).</t>
      </text>
    </comment>
    <comment ref="B33" authorId="0" shapeId="0">
      <text>
        <t>Source: 13 Year Summary Financials.xlsx / Meiborg_YTD_BS_2025_12.pdf</t>
      </text>
    </comment>
    <comment ref="C33" authorId="0" shapeId="0">
      <text>
        <t>Source: 13 Year Summary Financials.xlsx / Meiborg_YTD_BS_2025_12.pdf</t>
      </text>
    </comment>
    <comment ref="D33" authorId="0" shapeId="0">
      <text>
        <t>Source: 13 Year Summary Financials.xlsx / Meiborg_YTD_BS_2025_12.pdf</t>
      </text>
    </comment>
    <comment ref="E33" authorId="0" shapeId="0">
      <text>
        <t>Source: 13 Year Summary Financials.xlsx / Meiborg_YTD_BS_2025_12.pdf</t>
      </text>
    </comment>
    <comment ref="F33" authorId="0" shapeId="0">
      <text>
        <t>Projection: Current portion = annual debt paydown. Source: Assumptions row 41.</t>
      </text>
    </comment>
    <comment ref="G33" authorId="0" shapeId="0">
      <text>
        <t>Projection: Current portion = annual debt paydown. Source: Assumptions row 41.</t>
      </text>
    </comment>
    <comment ref="H33" authorId="0" shapeId="0">
      <text>
        <t>Projection: Current portion = annual debt paydown. Source: Assumptions row 41.</t>
      </text>
    </comment>
    <comment ref="E34" authorId="0" shapeId="0">
      <text>
        <t>Source: Meiborg_YTD_BS_2025_12.pdf</t>
      </text>
    </comment>
    <comment ref="F34" authorId="0" shapeId="0">
      <text>
        <t>Projection: Held flat from prior year.</t>
      </text>
    </comment>
    <comment ref="G34" authorId="0" shapeId="0">
      <text>
        <t>Projection: Held flat from prior year.</t>
      </text>
    </comment>
    <comment ref="H34" authorId="0" shapeId="0">
      <text>
        <t>Projection: Held flat from prior year.</t>
      </text>
    </comment>
    <comment ref="E35" authorId="0" shapeId="0">
      <text>
        <t>Source: Meiborg_YTD_BS_2025_12.pdf</t>
      </text>
    </comment>
    <comment ref="F35" authorId="0" shapeId="0">
      <text>
        <t>Projection: Held flat from prior year.</t>
      </text>
    </comment>
    <comment ref="G35" authorId="0" shapeId="0">
      <text>
        <t>Projection: Held flat from prior year.</t>
      </text>
    </comment>
    <comment ref="H35" authorId="0" shapeId="0">
      <text>
        <t>Projection: Held flat from prior year.</t>
      </text>
    </comment>
    <comment ref="B36" authorId="0" shapeId="0">
      <text>
        <t>Source: 13 Year Summary Financials.xlsx / Meiborg_YTD_BS_2025_12.pdf</t>
      </text>
    </comment>
    <comment ref="C36" authorId="0" shapeId="0">
      <text>
        <t>Source: 13 Year Summary Financials.xlsx / Meiborg_YTD_BS_2025_12.pdf</t>
      </text>
    </comment>
    <comment ref="D36" authorId="0" shapeId="0">
      <text>
        <t>Source: 13 Year Summary Financials.xlsx / Meiborg_YTD_BS_2025_12.pdf</t>
      </text>
    </comment>
    <comment ref="E36" authorId="0" shapeId="0">
      <text>
        <t>Source: 13 Year Summary Financials.xlsx / Meiborg_YTD_BS_2025_12.pdf</t>
      </text>
    </comment>
    <comment ref="F36" authorId="0" shapeId="0">
      <text>
        <t>Projection: A/P = COGS / 365 * A/P Days. COGS = Revenue * (1-GM). Source: Assumptions rows 17, 27, 50.</t>
      </text>
    </comment>
    <comment ref="G36" authorId="0" shapeId="0">
      <text>
        <t>Projection: A/P = COGS / 365 * A/P Days. COGS = Revenue * (1-GM). Source: Assumptions rows 17, 27, 50.</t>
      </text>
    </comment>
    <comment ref="H36" authorId="0" shapeId="0">
      <text>
        <t>Projection: A/P = COGS / 365 * A/P Days. COGS = Revenue * (1-GM). Source: Assumptions rows 17, 27, 50.</t>
      </text>
    </comment>
    <comment ref="E37" authorId="0" shapeId="0">
      <text>
        <t>Source: Meiborg_YTD_BS_2025_12.pdf</t>
      </text>
    </comment>
    <comment ref="F37" authorId="0" shapeId="0">
      <text>
        <t>Projection: Accrued Payroll scaled by revenue growth. Prior * (Current Rev / Prior Rev).</t>
      </text>
    </comment>
    <comment ref="G37" authorId="0" shapeId="0">
      <text>
        <t>Projection: Accrued Payroll scaled by revenue growth. Prior * (Current Rev / Prior Rev).</t>
      </text>
    </comment>
    <comment ref="H37" authorId="0" shapeId="0">
      <text>
        <t>Projection: Accrued Payroll scaled by revenue growth. Prior * (Current Rev / Prior Rev).</t>
      </text>
    </comment>
    <comment ref="B38" authorId="0" shapeId="0">
      <text>
        <t>Source: 13 Year Summary Financials.xlsx / Meiborg_YTD_BS_2025_12.pdf</t>
      </text>
    </comment>
    <comment ref="C38" authorId="0" shapeId="0">
      <text>
        <t>Source: 13 Year Summary Financials.xlsx / Meiborg_YTD_BS_2025_12.pdf</t>
      </text>
    </comment>
    <comment ref="D38" authorId="0" shapeId="0">
      <text>
        <t>Source: 13 Year Summary Financials.xlsx / Meiborg_YTD_BS_2025_12.pdf</t>
      </text>
    </comment>
    <comment ref="E38" authorId="0" shapeId="0">
      <text>
        <t>Source: 13 Year Summary Financials.xlsx / Meiborg_YTD_BS_2025_12.pdf</t>
      </text>
    </comment>
    <comment ref="F38" authorId="0" shapeId="0">
      <text>
        <t>Projection: Other Accrued scaled by revenue growth. Prior * (Current Rev / Prior Rev).</t>
      </text>
    </comment>
    <comment ref="G38" authorId="0" shapeId="0">
      <text>
        <t>Projection: Other Accrued scaled by revenue growth. Prior * (Current Rev / Prior Rev).</t>
      </text>
    </comment>
    <comment ref="H38" authorId="0" shapeId="0">
      <text>
        <t>Projection: Other Accrued scaled by revenue growth. Prior * (Current Rev / Prior Rev).</t>
      </text>
    </comment>
    <comment ref="B39" authorId="0" shapeId="0">
      <text>
        <t>Sum of rows 32-38: Current Liabilities</t>
      </text>
    </comment>
    <comment ref="C39" authorId="0" shapeId="0">
      <text>
        <t>Sum of rows 32-38: Current Liabilities</t>
      </text>
    </comment>
    <comment ref="D39" authorId="0" shapeId="0">
      <text>
        <t>Sum of rows 32-38: Current Liabilities</t>
      </text>
    </comment>
    <comment ref="E39" authorId="0" shapeId="0">
      <text>
        <t>Sum of rows 32-38: Current Liabilities</t>
      </text>
    </comment>
    <comment ref="F39" authorId="0" shapeId="0">
      <text>
        <t>Sum of rows 32-38: LOC, Current Portion Notes, Capital Leases, Op Lease, A/P, Accrued Payroll, Other Accrued.</t>
      </text>
    </comment>
    <comment ref="G39" authorId="0" shapeId="0">
      <text>
        <t>Sum of rows 32-38: LOC, Current Portion Notes, Capital Leases, Op Lease, A/P, Accrued Payroll, Other Accrued.</t>
      </text>
    </comment>
    <comment ref="H39" authorId="0" shapeId="0">
      <text>
        <t>Sum of rows 32-38: LOC, Current Portion Notes, Capital Leases, Op Lease, A/P, Accrued Payroll, Other Accrued.</t>
      </text>
    </comment>
    <comment ref="B42" authorId="0" shapeId="0">
      <text>
        <t>Source: 13 Year Summary Financials.xlsx / Meiborg_YTD_BS_2025_12.pdf</t>
      </text>
    </comment>
    <comment ref="C42" authorId="0" shapeId="0">
      <text>
        <t>Source: 13 Year Summary Financials.xlsx / Meiborg_YTD_BS_2025_12.pdf</t>
      </text>
    </comment>
    <comment ref="D42" authorId="0" shapeId="0">
      <text>
        <t>Source: 13 Year Summary Financials.xlsx / Meiborg_YTD_BS_2025_12.pdf</t>
      </text>
    </comment>
    <comment ref="E42" authorId="0" shapeId="0">
      <text>
        <t>Source: 13 Year Summary Financials.xlsx / Meiborg_YTD_BS_2025_12.pdf</t>
      </text>
    </comment>
    <comment ref="F42" authorId="0" shapeId="0">
      <text>
        <t>Projection: Prior LT Debt - Paydown + New Borrowings. Source: Assumptions rows 41 &amp; 42.</t>
      </text>
    </comment>
    <comment ref="G42" authorId="0" shapeId="0">
      <text>
        <t>Projection: Prior LT Debt - Paydown + New Borrowings. Source: Assumptions rows 41 &amp; 42.</t>
      </text>
    </comment>
    <comment ref="H42" authorId="0" shapeId="0">
      <text>
        <t>Projection: Prior LT Debt - Paydown + New Borrowings. Source: Assumptions rows 41 &amp; 42.</t>
      </text>
    </comment>
    <comment ref="E43" authorId="0" shapeId="0">
      <text>
        <t>Source: Meiborg_YTD_BS_2025_12.pdf</t>
      </text>
    </comment>
    <comment ref="F43" authorId="0" shapeId="0">
      <text>
        <t>Projection: Held flat from prior year.</t>
      </text>
    </comment>
    <comment ref="G43" authorId="0" shapeId="0">
      <text>
        <t>Projection: Held flat from prior year.</t>
      </text>
    </comment>
    <comment ref="H43" authorId="0" shapeId="0">
      <text>
        <t>Projection: Held flat from prior year.</t>
      </text>
    </comment>
    <comment ref="E44" authorId="0" shapeId="0">
      <text>
        <t>Source: Meiborg_YTD_BS_2025_12.pdf</t>
      </text>
    </comment>
    <comment ref="F44" authorId="0" shapeId="0">
      <text>
        <t>Projection: Held flat from prior year.</t>
      </text>
    </comment>
    <comment ref="G44" authorId="0" shapeId="0">
      <text>
        <t>Projection: Held flat from prior year.</t>
      </text>
    </comment>
    <comment ref="H44" authorId="0" shapeId="0">
      <text>
        <t>Projection: Held flat from prior year.</t>
      </text>
    </comment>
    <comment ref="B45" authorId="0" shapeId="0">
      <text>
        <t>Sum of rows 42-44: LT Liabilities</t>
      </text>
    </comment>
    <comment ref="C45" authorId="0" shapeId="0">
      <text>
        <t>Sum of rows 42-44: LT Liabilities</t>
      </text>
    </comment>
    <comment ref="D45" authorId="0" shapeId="0">
      <text>
        <t>Sum of rows 42-44: LT Liabilities</t>
      </text>
    </comment>
    <comment ref="E45" authorId="0" shapeId="0">
      <text>
        <t>Sum of rows 42-44: LT Liabilities</t>
      </text>
    </comment>
    <comment ref="F45" authorId="0" shapeId="0">
      <text>
        <t>Sum of rows 42-44: LT Bank Notes, LT Capital Leases, LT Operating Lease.</t>
      </text>
    </comment>
    <comment ref="G45" authorId="0" shapeId="0">
      <text>
        <t>Sum of rows 42-44: LT Bank Notes, LT Capital Leases, LT Operating Lease.</t>
      </text>
    </comment>
    <comment ref="H45" authorId="0" shapeId="0">
      <text>
        <t>Sum of rows 42-44: LT Bank Notes, LT Capital Leases, LT Operating Lease.</t>
      </text>
    </comment>
    <comment ref="B47" authorId="0" shapeId="0">
      <text>
        <t>Total Current Liabilities + Total LT Liabilities</t>
      </text>
    </comment>
    <comment ref="C47" authorId="0" shapeId="0">
      <text>
        <t>Total Current Liabilities + Total LT Liabilities</t>
      </text>
    </comment>
    <comment ref="D47" authorId="0" shapeId="0">
      <text>
        <t>Total Current Liabilities + Total LT Liabilities</t>
      </text>
    </comment>
    <comment ref="E47" authorId="0" shapeId="0">
      <text>
        <t>Total Current Liabilities + Total LT Liabilities</t>
      </text>
    </comment>
    <comment ref="F47" authorId="0" shapeId="0">
      <text>
        <t>Total Liabilities = Total Current Liabilities + Total Long-Term Liabilities.</t>
      </text>
    </comment>
    <comment ref="G47" authorId="0" shapeId="0">
      <text>
        <t>Total Liabilities = Total Current Liabilities + Total Long-Term Liabilities.</t>
      </text>
    </comment>
    <comment ref="H47" authorId="0" shapeId="0">
      <text>
        <t>Total Liabilities = Total Current Liabilities + Total Long-Term Liabilities.</t>
      </text>
    </comment>
    <comment ref="B50" authorId="0" shapeId="0">
      <text>
        <t>Source: 13 Year Summary Financials.xlsx / Meiborg_YTD_BS_2025_12.pdf</t>
      </text>
    </comment>
    <comment ref="C50" authorId="0" shapeId="0">
      <text>
        <t>Source: 13 Year Summary Financials.xlsx / Meiborg_YTD_BS_2025_12.pdf</t>
      </text>
    </comment>
    <comment ref="D50" authorId="0" shapeId="0">
      <text>
        <t>Source: 13 Year Summary Financials.xlsx / Meiborg_YTD_BS_2025_12.pdf</t>
      </text>
    </comment>
    <comment ref="E50" authorId="0" shapeId="0">
      <text>
        <t>Source: 13 Year Summary Financials.xlsx / Meiborg_YTD_BS_2025_12.pdf</t>
      </text>
    </comment>
    <comment ref="F50" authorId="0" shapeId="0">
      <text>
        <t>Projection: Held flat from prior year.</t>
      </text>
    </comment>
    <comment ref="G50" authorId="0" shapeId="0">
      <text>
        <t>Projection: Held flat from prior year.</t>
      </text>
    </comment>
    <comment ref="H50" authorId="0" shapeId="0">
      <text>
        <t>Projection: Held flat from prior year.</t>
      </text>
    </comment>
    <comment ref="E51" authorId="0" shapeId="0">
      <text>
        <t>Source: Meiborg_YTD_BS_2025_12.pdf</t>
      </text>
    </comment>
    <comment ref="F51" authorId="0" shapeId="0">
      <text>
        <t>Projection: Held flat from prior year.</t>
      </text>
    </comment>
    <comment ref="G51" authorId="0" shapeId="0">
      <text>
        <t>Projection: Held flat from prior year.</t>
      </text>
    </comment>
    <comment ref="H51" authorId="0" shapeId="0">
      <text>
        <t>Projection: Held flat from prior year.</t>
      </text>
    </comment>
    <comment ref="E52" authorId="0" shapeId="0">
      <text>
        <t>Source: Meiborg_YTD_BS_2025_12.pdf</t>
      </text>
    </comment>
    <comment ref="F52" authorId="0" shapeId="0">
      <text>
        <t>Projection: Prior RE + Net Income - Distributions. Net Income from IS row 29.</t>
      </text>
    </comment>
    <comment ref="G52" authorId="0" shapeId="0">
      <text>
        <t>Projection: Prior RE + Net Income - Distributions. Net Income from IS row 29.</t>
      </text>
    </comment>
    <comment ref="H52" authorId="0" shapeId="0">
      <text>
        <t>Projection: Prior RE + Net Income - Distributions. Net Income from IS row 29.</t>
      </text>
    </comment>
    <comment ref="E53" authorId="0" shapeId="0">
      <text>
        <t>Source: Meiborg_YTD_BS_2025_12.pdf</t>
      </text>
    </comment>
    <comment ref="F53" authorId="0" shapeId="0">
      <text>
        <t>Projection: Distributions = Distribution Rate * Prior Total Equity (negative). Source: Assumptions row 61.</t>
      </text>
    </comment>
    <comment ref="G53" authorId="0" shapeId="0">
      <text>
        <t>Projection: Distributions = Distribution Rate * Prior Total Equity (negative). Source: Assumptions row 61.</t>
      </text>
    </comment>
    <comment ref="H53" authorId="0" shapeId="0">
      <text>
        <t>Projection: Distributions = Distribution Rate * Prior Total Equity (negative). Source: Assumptions row 61.</t>
      </text>
    </comment>
    <comment ref="B54" authorId="0" shapeId="0">
      <text>
        <t>Source: 13 Year Summary Financials.xlsx - Total Equity</t>
      </text>
    </comment>
    <comment ref="C54" authorId="0" shapeId="0">
      <text>
        <t>Source: 13 Year Summary Financials.xlsx - Total Equity</t>
      </text>
    </comment>
    <comment ref="D54" authorId="0" shapeId="0">
      <text>
        <t>Source: 13 Year Summary Financials.xlsx - Total Equity</t>
      </text>
    </comment>
    <comment ref="B55" authorId="0" shapeId="0">
      <text>
        <t>Historical equity from 13 Year Summary</t>
      </text>
    </comment>
    <comment ref="C55" authorId="0" shapeId="0">
      <text>
        <t>Historical equity from 13 Year Summary</t>
      </text>
    </comment>
    <comment ref="D55" authorId="0" shapeId="0">
      <text>
        <t>Historical equity from 13 Year Summary</t>
      </text>
    </comment>
    <comment ref="E55" authorId="0" shapeId="0">
      <text>
        <t>Sum of rows 50-53: Equity components</t>
      </text>
    </comment>
    <comment ref="F55" authorId="0" shapeId="0">
      <text>
        <t>Total Equity = Capital Stock + Paid-in Capital + Retained Earnings + Distributions.</t>
      </text>
    </comment>
    <comment ref="G55" authorId="0" shapeId="0">
      <text>
        <t>Total Equity = Capital Stock + Paid-in Capital + Retained Earnings + Distributions.</t>
      </text>
    </comment>
    <comment ref="H55" authorId="0" shapeId="0">
      <text>
        <t>Total Equity = Capital Stock + Paid-in Capital + Retained Earnings + Distributions.</t>
      </text>
    </comment>
    <comment ref="B57" authorId="0" shapeId="0">
      <text>
        <t>Total Liabilities + Total Equity</t>
      </text>
    </comment>
    <comment ref="C57" authorId="0" shapeId="0">
      <text>
        <t>Total Liabilities + Total Equity</t>
      </text>
    </comment>
    <comment ref="D57" authorId="0" shapeId="0">
      <text>
        <t>Total Liabilities + Total Equity</t>
      </text>
    </comment>
    <comment ref="E57" authorId="0" shapeId="0">
      <text>
        <t>Total Liabilities + Total Equity</t>
      </text>
    </comment>
    <comment ref="F57" authorId="0" shapeId="0">
      <text>
        <t>Total L&amp;E = Total Liabilities + Total Equity.</t>
      </text>
    </comment>
    <comment ref="G57" authorId="0" shapeId="0">
      <text>
        <t>Total L&amp;E = Total Liabilities + Total Equity.</t>
      </text>
    </comment>
    <comment ref="H57" authorId="0" shapeId="0">
      <text>
        <t>Total L&amp;E = Total Liabilities + Total Equity.</t>
      </text>
    </comment>
    <comment ref="B61" authorId="0" shapeId="0">
      <text>
        <t>Check: must be 0. Non-zero = model error.</t>
      </text>
    </comment>
    <comment ref="C61" authorId="0" shapeId="0">
      <text>
        <t>Check: must be 0. Non-zero = model error.</t>
      </text>
    </comment>
    <comment ref="D61" authorId="0" shapeId="0">
      <text>
        <t>Check: must be 0. Non-zero = model error.</t>
      </text>
    </comment>
    <comment ref="E61" authorId="0" shapeId="0">
      <text>
        <t>Check: must be 0. Non-zero = model error.</t>
      </text>
    </comment>
    <comment ref="F61" authorId="0" shapeId="0">
      <text>
        <t>Check: must be 0. Non-zero = model error. Assets - L&amp;E.</t>
      </text>
    </comment>
    <comment ref="G61" authorId="0" shapeId="0">
      <text>
        <t>Check: must be 0. Non-zero = model error. Assets - L&amp;E.</t>
      </text>
    </comment>
    <comment ref="H61" authorId="0" shapeId="0">
      <text>
        <t>Check: must be 0. Non-zero = model error. Assets - L&amp;E.</t>
      </text>
    </comment>
    <comment ref="B62" authorId="0" shapeId="0">
      <text>
        <t>Check: BS Cash (row 7) - CF Ending Cash (CF row 35). Must be 0.</t>
      </text>
    </comment>
    <comment ref="C62" authorId="0" shapeId="0">
      <text>
        <t>Check: BS Cash (row 7) - CF Ending Cash (CF row 35). Must be 0.</t>
      </text>
    </comment>
    <comment ref="D62" authorId="0" shapeId="0">
      <text>
        <t>Check: BS Cash (row 7) - CF Ending Cash (CF row 35). Must be 0.</t>
      </text>
    </comment>
    <comment ref="E62" authorId="0" shapeId="0">
      <text>
        <t>Check: BS Cash (row 7) - CF Ending Cash (CF row 35). Must be 0.</t>
      </text>
    </comment>
    <comment ref="F62" authorId="0" shapeId="0">
      <text>
        <t>Check: must be 0. BS Cash should equal CF Ending Cash.</t>
      </text>
    </comment>
    <comment ref="G62" authorId="0" shapeId="0">
      <text>
        <t>Check: must be 0. BS Cash should equal CF Ending Cash.</t>
      </text>
    </comment>
    <comment ref="H62" authorId="0" shapeId="0">
      <text>
        <t>Check: must be 0. BS Cash should equal CF Ending Cash.</t>
      </text>
    </comment>
    <comment ref="B63" authorId="0" shapeId="0">
      <text>
        <t>Placeholder: Will link to IS Net Income when IS sheet is built</t>
      </text>
    </comment>
    <comment ref="C63" authorId="0" shapeId="0">
      <text>
        <t>Placeholder: Will link to IS Net Income when IS sheet is built</t>
      </text>
    </comment>
    <comment ref="D63" authorId="0" shapeId="0">
      <text>
        <t>Placeholder: Will link to IS Net Income when IS sheet is built</t>
      </text>
    </comment>
    <comment ref="E63" authorId="0" shapeId="0">
      <text>
        <t>Placeholder: Will link to IS Net Income when IS sheet is built</t>
      </text>
    </comment>
    <comment ref="F63" authorId="0" shapeId="0">
      <text>
        <t>Check: Net Income variance placeholder for projected years.</t>
      </text>
    </comment>
    <comment ref="G63" authorId="0" shapeId="0">
      <text>
        <t>Check: Net Income variance placeholder for projected years.</t>
      </text>
    </comment>
    <comment ref="H63" authorId="0" shapeId="0">
      <text>
        <t>Check: Net Income variance placeholder for projected years.</t>
      </text>
    </comment>
  </commentList>
</comments>
</file>

<file path=xl/comments/comment9.xml><?xml version="1.0" encoding="utf-8"?>
<comments xmlns="http://schemas.openxmlformats.org/spreadsheetml/2006/main">
  <authors>
    <author>Model Builder</author>
  </authors>
  <commentList>
    <comment ref="B2" authorId="0" shapeId="0">
      <text>
        <t>Source: loans.md, Loan 007
Extracted: 2026-05-14</t>
      </text>
    </comment>
    <comment ref="B6" authorId="0" shapeId="0">
      <text>
        <t>Source: Meiborg_Debt_Schedule_202512.xlsx
Balance as of 12/31/2025
Original Balance: $1,238,790.00</t>
      </text>
    </comment>
    <comment ref="B7" authorId="0" shapeId="0">
      <text>
        <t>Source: loans.md, Loan 007
Extracted: 2026-05-14</t>
      </text>
    </comment>
    <comment ref="B8" authorId="0" shapeId="0">
      <text>
        <t>Source: loans.md, Loan 007
Extracted: 2026-05-14</t>
      </text>
    </comment>
    <comment ref="C23" authorId="0" shapeId="0">
      <text>
        <t>Loan: Webster Capital Finance. Source: Meiborg_Debt_Schedule_202512.xlsx</t>
      </text>
    </comment>
    <comment ref="D23" authorId="0" shapeId="0">
      <text>
        <t>Loan: Webster Capital Finance. Interest = MAX(0, Opening * Rate/12)</t>
      </text>
    </comment>
    <comment ref="E23" authorId="0" shapeId="0">
      <text>
        <t>Loan: Webster Capital Finance. Principal = MAX(0, MIN(Opening, Payment - Interest))</t>
      </text>
    </comment>
    <comment ref="F23" authorId="0" shapeId="0">
      <text>
        <t>Loan: Webster Capital Finance. Closing = MAX(0, Opening - Principal)</t>
      </text>
    </comment>
    <comment ref="C24" authorId="0" shapeId="0">
      <text>
        <t>Loan: Webster Capital Finance. Opening = prior month closing balance.</t>
      </text>
    </comment>
    <comment ref="D24" authorId="0" shapeId="0">
      <text>
        <t>Loan: Webster Capital Finance. Interest = MAX(0, Opening * Rate/12)</t>
      </text>
    </comment>
    <comment ref="E24" authorId="0" shapeId="0">
      <text>
        <t>Loan: Webster Capital Finance. Principal = MAX(0, MIN(Opening, Payment - Interest))</t>
      </text>
    </comment>
    <comment ref="F24" authorId="0" shapeId="0">
      <text>
        <t>Loan: Webster Capital Finance. Closing = MAX(0, Opening - Principal)</t>
      </text>
    </comment>
    <comment ref="C25" authorId="0" shapeId="0">
      <text>
        <t>Loan: Webster Capital Finance. Opening = prior month closing balance.</t>
      </text>
    </comment>
    <comment ref="D25" authorId="0" shapeId="0">
      <text>
        <t>Loan: Webster Capital Finance. Interest = MAX(0, Opening * Rate/12)</t>
      </text>
    </comment>
    <comment ref="E25" authorId="0" shapeId="0">
      <text>
        <t>Loan: Webster Capital Finance. Principal = MAX(0, MIN(Opening, Payment - Interest))</t>
      </text>
    </comment>
    <comment ref="F25" authorId="0" shapeId="0">
      <text>
        <t>Loan: Webster Capital Finance. Closing = MAX(0, Opening - Principal)</t>
      </text>
    </comment>
    <comment ref="C26" authorId="0" shapeId="0">
      <text>
        <t>Loan: Webster Capital Finance. Opening = prior month closing balance.</t>
      </text>
    </comment>
    <comment ref="D26" authorId="0" shapeId="0">
      <text>
        <t>Loan: Webster Capital Finance. Interest = MAX(0, Opening * Rate/12)</t>
      </text>
    </comment>
    <comment ref="E26" authorId="0" shapeId="0">
      <text>
        <t>Loan: Webster Capital Finance. Principal = MAX(0, MIN(Opening, Payment - Interest))</t>
      </text>
    </comment>
    <comment ref="F26" authorId="0" shapeId="0">
      <text>
        <t>Loan: Webster Capital Finance. Closing = MAX(0, Opening - Principal)</t>
      </text>
    </comment>
    <comment ref="C27" authorId="0" shapeId="0">
      <text>
        <t>Loan: Webster Capital Finance. Opening = prior month closing balance.</t>
      </text>
    </comment>
    <comment ref="D27" authorId="0" shapeId="0">
      <text>
        <t>Loan: Webster Capital Finance. Interest = MAX(0, Opening * Rate/12)</t>
      </text>
    </comment>
    <comment ref="E27" authorId="0" shapeId="0">
      <text>
        <t>Loan: Webster Capital Finance. Principal = MAX(0, MIN(Opening, Payment - Interest))</t>
      </text>
    </comment>
    <comment ref="F27" authorId="0" shapeId="0">
      <text>
        <t>Loan: Webster Capital Finance. Closing = MAX(0, Opening - Principal)</t>
      </text>
    </comment>
    <comment ref="C28" authorId="0" shapeId="0">
      <text>
        <t>Loan: Webster Capital Finance. Opening = prior month closing balance.</t>
      </text>
    </comment>
    <comment ref="D28" authorId="0" shapeId="0">
      <text>
        <t>Loan: Webster Capital Finance. Interest = MAX(0, Opening * Rate/12)</t>
      </text>
    </comment>
    <comment ref="E28" authorId="0" shapeId="0">
      <text>
        <t>Loan: Webster Capital Finance. Principal = MAX(0, MIN(Opening, Payment - Interest))</t>
      </text>
    </comment>
    <comment ref="F28" authorId="0" shapeId="0">
      <text>
        <t>Loan: Webster Capital Finance. Closing = MAX(0, Opening - Principal)</t>
      </text>
    </comment>
    <comment ref="C29" authorId="0" shapeId="0">
      <text>
        <t>Loan: Webster Capital Finance. Opening = prior month closing balance.</t>
      </text>
    </comment>
    <comment ref="D29" authorId="0" shapeId="0">
      <text>
        <t>Loan: Webster Capital Finance. Interest = MAX(0, Opening * Rate/12)</t>
      </text>
    </comment>
    <comment ref="E29" authorId="0" shapeId="0">
      <text>
        <t>Loan: Webster Capital Finance. Principal = MAX(0, MIN(Opening, Payment - Interest))</t>
      </text>
    </comment>
    <comment ref="F29" authorId="0" shapeId="0">
      <text>
        <t>Loan: Webster Capital Finance. Closing = MAX(0, Opening - Principal)</t>
      </text>
    </comment>
    <comment ref="C30" authorId="0" shapeId="0">
      <text>
        <t>Loan: Webster Capital Finance. Opening = prior month closing balance.</t>
      </text>
    </comment>
    <comment ref="D30" authorId="0" shapeId="0">
      <text>
        <t>Loan: Webster Capital Finance. Interest = MAX(0, Opening * Rate/12)</t>
      </text>
    </comment>
    <comment ref="E30" authorId="0" shapeId="0">
      <text>
        <t>Loan: Webster Capital Finance. Principal = MAX(0, MIN(Opening, Payment - Interest))</t>
      </text>
    </comment>
    <comment ref="F30" authorId="0" shapeId="0">
      <text>
        <t>Loan: Webster Capital Finance. Closing = MAX(0, Opening - Principal)</t>
      </text>
    </comment>
    <comment ref="C31" authorId="0" shapeId="0">
      <text>
        <t>Loan: Webster Capital Finance. Opening = prior month closing balance.</t>
      </text>
    </comment>
    <comment ref="D31" authorId="0" shapeId="0">
      <text>
        <t>Loan: Webster Capital Finance. Interest = MAX(0, Opening * Rate/12)</t>
      </text>
    </comment>
    <comment ref="E31" authorId="0" shapeId="0">
      <text>
        <t>Loan: Webster Capital Finance. Principal = MAX(0, MIN(Opening, Payment - Interest))</t>
      </text>
    </comment>
    <comment ref="F31" authorId="0" shapeId="0">
      <text>
        <t>Loan: Webster Capital Finance. Closing = MAX(0, Opening - Principal)</t>
      </text>
    </comment>
    <comment ref="C32" authorId="0" shapeId="0">
      <text>
        <t>Loan: Webster Capital Finance. Opening = prior month closing balance.</t>
      </text>
    </comment>
    <comment ref="D32" authorId="0" shapeId="0">
      <text>
        <t>Loan: Webster Capital Finance. Interest = MAX(0, Opening * Rate/12)</t>
      </text>
    </comment>
    <comment ref="E32" authorId="0" shapeId="0">
      <text>
        <t>Loan: Webster Capital Finance. Principal = MAX(0, MIN(Opening, Payment - Interest))</t>
      </text>
    </comment>
    <comment ref="F32" authorId="0" shapeId="0">
      <text>
        <t>Loan: Webster Capital Finance. Closing = MAX(0, Opening - Principal)</t>
      </text>
    </comment>
    <comment ref="C33" authorId="0" shapeId="0">
      <text>
        <t>Loan: Webster Capital Finance. Opening = prior month closing balance.</t>
      </text>
    </comment>
    <comment ref="D33" authorId="0" shapeId="0">
      <text>
        <t>Loan: Webster Capital Finance. Interest = MAX(0, Opening * Rate/12)</t>
      </text>
    </comment>
    <comment ref="E33" authorId="0" shapeId="0">
      <text>
        <t>Loan: Webster Capital Finance. Principal = MAX(0, MIN(Opening, Payment - Interest))</t>
      </text>
    </comment>
    <comment ref="F33" authorId="0" shapeId="0">
      <text>
        <t>Loan: Webster Capital Finance. Closing = MAX(0, Opening - Principal)</t>
      </text>
    </comment>
    <comment ref="C34" authorId="0" shapeId="0">
      <text>
        <t>Loan: Webster Capital Finance. Opening = prior month closing balance.</t>
      </text>
    </comment>
    <comment ref="D34" authorId="0" shapeId="0">
      <text>
        <t>Loan: Webster Capital Finance. Interest = MAX(0, Opening * Rate/12)</t>
      </text>
    </comment>
    <comment ref="E34" authorId="0" shapeId="0">
      <text>
        <t>Loan: Webster Capital Finance. Principal = MAX(0, MIN(Opening, Payment - Interest))</t>
      </text>
    </comment>
    <comment ref="F34" authorId="0" shapeId="0">
      <text>
        <t>Loan: Webster Capital Finance. Closing = MAX(0, Opening - Principal)</t>
      </text>
    </comment>
    <comment ref="C35" authorId="0" shapeId="0">
      <text>
        <t>Loan: Webster Capital Finance. Opening = prior month closing balance.</t>
      </text>
    </comment>
    <comment ref="D35" authorId="0" shapeId="0">
      <text>
        <t>Loan: Webster Capital Finance. Interest = MAX(0, Opening * Rate/12)</t>
      </text>
    </comment>
    <comment ref="E35" authorId="0" shapeId="0">
      <text>
        <t>Loan: Webster Capital Finance. Principal = MAX(0, MIN(Opening, Payment - Interest))</t>
      </text>
    </comment>
    <comment ref="F35" authorId="0" shapeId="0">
      <text>
        <t>Loan: Webster Capital Finance. Closing = MAX(0, Opening - Principal)</t>
      </text>
    </comment>
    <comment ref="C36" authorId="0" shapeId="0">
      <text>
        <t>Loan: Webster Capital Finance. Opening = prior month closing balance.</t>
      </text>
    </comment>
    <comment ref="D36" authorId="0" shapeId="0">
      <text>
        <t>Loan: Webster Capital Finance. Interest = MAX(0, Opening * Rate/12)</t>
      </text>
    </comment>
    <comment ref="E36" authorId="0" shapeId="0">
      <text>
        <t>Loan: Webster Capital Finance. Principal = MAX(0, MIN(Opening, Payment - Interest))</t>
      </text>
    </comment>
    <comment ref="F36" authorId="0" shapeId="0">
      <text>
        <t>Loan: Webster Capital Finance. Closing = MAX(0, Opening - Principal)</t>
      </text>
    </comment>
    <comment ref="C37" authorId="0" shapeId="0">
      <text>
        <t>Loan: Webster Capital Finance. Opening = prior month closing balance.</t>
      </text>
    </comment>
    <comment ref="D37" authorId="0" shapeId="0">
      <text>
        <t>Loan: Webster Capital Finance. Interest = MAX(0, Opening * Rate/12)</t>
      </text>
    </comment>
    <comment ref="E37" authorId="0" shapeId="0">
      <text>
        <t>Loan: Webster Capital Finance. Principal = MAX(0, MIN(Opening, Payment - Interest))</t>
      </text>
    </comment>
    <comment ref="F37" authorId="0" shapeId="0">
      <text>
        <t>Loan: Webster Capital Finance. Closing = MAX(0, Opening - Principal)</t>
      </text>
    </comment>
    <comment ref="C38" authorId="0" shapeId="0">
      <text>
        <t>Loan: Webster Capital Finance. Opening = prior month closing balance.</t>
      </text>
    </comment>
    <comment ref="D38" authorId="0" shapeId="0">
      <text>
        <t>Loan: Webster Capital Finance. Interest = MAX(0, Opening * Rate/12)</t>
      </text>
    </comment>
    <comment ref="E38" authorId="0" shapeId="0">
      <text>
        <t>Loan: Webster Capital Finance. Principal = MAX(0, MIN(Opening, Payment - Interest))</t>
      </text>
    </comment>
    <comment ref="F38" authorId="0" shapeId="0">
      <text>
        <t>Loan: Webster Capital Finance. Closing = MAX(0, Opening - Principal)</t>
      </text>
    </comment>
    <comment ref="C39" authorId="0" shapeId="0">
      <text>
        <t>Loan: Webster Capital Finance. Opening = prior month closing balance.</t>
      </text>
    </comment>
    <comment ref="D39" authorId="0" shapeId="0">
      <text>
        <t>Loan: Webster Capital Finance. Interest = MAX(0, Opening * Rate/12)</t>
      </text>
    </comment>
    <comment ref="E39" authorId="0" shapeId="0">
      <text>
        <t>Loan: Webster Capital Finance. Principal = MAX(0, MIN(Opening, Payment - Interest))</t>
      </text>
    </comment>
    <comment ref="F39" authorId="0" shapeId="0">
      <text>
        <t>Loan: Webster Capital Finance. Closing = MAX(0, Opening - Principal)</t>
      </text>
    </comment>
    <comment ref="C40" authorId="0" shapeId="0">
      <text>
        <t>Loan: Webster Capital Finance. Opening = prior month closing balance.</t>
      </text>
    </comment>
    <comment ref="D40" authorId="0" shapeId="0">
      <text>
        <t>Loan: Webster Capital Finance. Interest = MAX(0, Opening * Rate/12)</t>
      </text>
    </comment>
    <comment ref="E40" authorId="0" shapeId="0">
      <text>
        <t>Loan: Webster Capital Finance. Principal = MAX(0, MIN(Opening, Payment - Interest))</t>
      </text>
    </comment>
    <comment ref="F40" authorId="0" shapeId="0">
      <text>
        <t>Loan: Webster Capital Finance. Closing = MAX(0, Opening - Principal)</t>
      </text>
    </comment>
    <comment ref="C41" authorId="0" shapeId="0">
      <text>
        <t>Loan: Webster Capital Finance. Opening = prior month closing balance.</t>
      </text>
    </comment>
    <comment ref="D41" authorId="0" shapeId="0">
      <text>
        <t>Loan: Webster Capital Finance. Interest = MAX(0, Opening * Rate/12)</t>
      </text>
    </comment>
    <comment ref="E41" authorId="0" shapeId="0">
      <text>
        <t>Loan: Webster Capital Finance. Principal = MAX(0, MIN(Opening, Payment - Interest))</t>
      </text>
    </comment>
    <comment ref="F41" authorId="0" shapeId="0">
      <text>
        <t>Loan: Webster Capital Finance. Closing = MAX(0, Opening - Principal)</t>
      </text>
    </comment>
    <comment ref="C42" authorId="0" shapeId="0">
      <text>
        <t>Loan: Webster Capital Finance. Opening = prior month closing balance.</t>
      </text>
    </comment>
    <comment ref="D42" authorId="0" shapeId="0">
      <text>
        <t>Loan: Webster Capital Finance. Interest = MAX(0, Opening * Rate/12)</t>
      </text>
    </comment>
    <comment ref="E42" authorId="0" shapeId="0">
      <text>
        <t>Loan: Webster Capital Finance. Principal = MAX(0, MIN(Opening, Payment - Interest))</t>
      </text>
    </comment>
    <comment ref="F42" authorId="0" shapeId="0">
      <text>
        <t>Loan: Webster Capital Finance. Closing = MAX(0, Opening - Principal)</t>
      </text>
    </comment>
    <comment ref="C43" authorId="0" shapeId="0">
      <text>
        <t>Loan: Webster Capital Finance. Opening = prior month closing balance.</t>
      </text>
    </comment>
    <comment ref="D43" authorId="0" shapeId="0">
      <text>
        <t>Loan: Webster Capital Finance. Interest = MAX(0, Opening * Rate/12)</t>
      </text>
    </comment>
    <comment ref="E43" authorId="0" shapeId="0">
      <text>
        <t>Loan: Webster Capital Finance. Principal = MAX(0, MIN(Opening, Payment - Interest))</t>
      </text>
    </comment>
    <comment ref="F43" authorId="0" shapeId="0">
      <text>
        <t>Loan: Webster Capital Finance. Closing = MAX(0, Opening - Principal)</t>
      </text>
    </comment>
    <comment ref="C44" authorId="0" shapeId="0">
      <text>
        <t>Loan: Webster Capital Finance. Opening = prior month closing balance.</t>
      </text>
    </comment>
    <comment ref="D44" authorId="0" shapeId="0">
      <text>
        <t>Loan: Webster Capital Finance. Interest = MAX(0, Opening * Rate/12)</t>
      </text>
    </comment>
    <comment ref="E44" authorId="0" shapeId="0">
      <text>
        <t>Loan: Webster Capital Finance. Principal = MAX(0, MIN(Opening, Payment - Interest))</t>
      </text>
    </comment>
    <comment ref="F44" authorId="0" shapeId="0">
      <text>
        <t>Loan: Webster Capital Finance. Closing = MAX(0, Opening - Principal)</t>
      </text>
    </comment>
    <comment ref="C45" authorId="0" shapeId="0">
      <text>
        <t>Loan: Webster Capital Finance. Opening = prior month closing balance.</t>
      </text>
    </comment>
    <comment ref="D45" authorId="0" shapeId="0">
      <text>
        <t>Loan: Webster Capital Finance. Interest = MAX(0, Opening * Rate/12)</t>
      </text>
    </comment>
    <comment ref="E45" authorId="0" shapeId="0">
      <text>
        <t>Loan: Webster Capital Finance. Principal = MAX(0, MIN(Opening, Payment - Interest))</t>
      </text>
    </comment>
    <comment ref="F45" authorId="0" shapeId="0">
      <text>
        <t>Loan: Webster Capital Finance. Closing = MAX(0, Opening - Principal)</t>
      </text>
    </comment>
    <comment ref="C46" authorId="0" shapeId="0">
      <text>
        <t>Loan: Webster Capital Finance. Opening = prior month closing balance.</t>
      </text>
    </comment>
    <comment ref="D46" authorId="0" shapeId="0">
      <text>
        <t>Loan: Webster Capital Finance. Interest = MAX(0, Opening * Rate/12)</t>
      </text>
    </comment>
    <comment ref="E46" authorId="0" shapeId="0">
      <text>
        <t>Loan: Webster Capital Finance. Principal = MAX(0, MIN(Opening, Payment - Interest))</t>
      </text>
    </comment>
    <comment ref="F46" authorId="0" shapeId="0">
      <text>
        <t>Loan: Webster Capital Finance. Closing = MAX(0, Opening - Principal)</t>
      </text>
    </comment>
    <comment ref="C47" authorId="0" shapeId="0">
      <text>
        <t>Loan: Webster Capital Finance. Opening = prior month closing balance.</t>
      </text>
    </comment>
    <comment ref="D47" authorId="0" shapeId="0">
      <text>
        <t>Loan: Webster Capital Finance. Interest = MAX(0, Opening * Rate/12)</t>
      </text>
    </comment>
    <comment ref="E47" authorId="0" shapeId="0">
      <text>
        <t>Loan: Webster Capital Finance. Principal = MAX(0, MIN(Opening, Payment - Interest))</t>
      </text>
    </comment>
    <comment ref="F47" authorId="0" shapeId="0">
      <text>
        <t>Loan: Webster Capital Finance. Closing = MAX(0, Opening - Principal)</t>
      </text>
    </comment>
    <comment ref="C48" authorId="0" shapeId="0">
      <text>
        <t>Loan: Webster Capital Finance. Opening = prior month closing balance.</t>
      </text>
    </comment>
    <comment ref="D48" authorId="0" shapeId="0">
      <text>
        <t>Loan: Webster Capital Finance. Interest = MAX(0, Opening * Rate/12)</t>
      </text>
    </comment>
    <comment ref="E48" authorId="0" shapeId="0">
      <text>
        <t>Loan: Webster Capital Finance. Principal = MAX(0, MIN(Opening, Payment - Interest))</t>
      </text>
    </comment>
    <comment ref="F48" authorId="0" shapeId="0">
      <text>
        <t>Loan: Webster Capital Finance. Closing = MAX(0, Opening - Principal)</t>
      </text>
    </comment>
    <comment ref="C49" authorId="0" shapeId="0">
      <text>
        <t>Loan: Webster Capital Finance. Opening = prior month closing balance.</t>
      </text>
    </comment>
    <comment ref="D49" authorId="0" shapeId="0">
      <text>
        <t>Loan: Webster Capital Finance. Interest = MAX(0, Opening * Rate/12)</t>
      </text>
    </comment>
    <comment ref="E49" authorId="0" shapeId="0">
      <text>
        <t>Loan: Webster Capital Finance. Principal = MAX(0, MIN(Opening, Payment - Interest))</t>
      </text>
    </comment>
    <comment ref="F49" authorId="0" shapeId="0">
      <text>
        <t>Loan: Webster Capital Finance. Closing = MAX(0, Opening - Principal)</t>
      </text>
    </comment>
    <comment ref="C50" authorId="0" shapeId="0">
      <text>
        <t>Loan: Webster Capital Finance. Opening = prior month closing balance.</t>
      </text>
    </comment>
    <comment ref="D50" authorId="0" shapeId="0">
      <text>
        <t>Loan: Webster Capital Finance. Interest = MAX(0, Opening * Rate/12)</t>
      </text>
    </comment>
    <comment ref="E50" authorId="0" shapeId="0">
      <text>
        <t>Loan: Webster Capital Finance. Principal = MAX(0, MIN(Opening, Payment - Interest))</t>
      </text>
    </comment>
    <comment ref="F50" authorId="0" shapeId="0">
      <text>
        <t>Loan: Webster Capital Finance. Closing = MAX(0, Opening - Principal)</t>
      </text>
    </comment>
    <comment ref="C51" authorId="0" shapeId="0">
      <text>
        <t>Loan: Webster Capital Finance. Opening = prior month closing balance.</t>
      </text>
    </comment>
    <comment ref="D51" authorId="0" shapeId="0">
      <text>
        <t>Loan: Webster Capital Finance. Interest = MAX(0, Opening * Rate/12)</t>
      </text>
    </comment>
    <comment ref="E51" authorId="0" shapeId="0">
      <text>
        <t>Loan: Webster Capital Finance. Principal = MAX(0, MIN(Opening, Payment - Interest))</t>
      </text>
    </comment>
    <comment ref="F51" authorId="0" shapeId="0">
      <text>
        <t>Loan: Webster Capital Finance. Closing = MAX(0, Opening - Principal)</t>
      </text>
    </comment>
    <comment ref="C52" authorId="0" shapeId="0">
      <text>
        <t>Loan: Webster Capital Finance. Opening = prior month closing balance.</t>
      </text>
    </comment>
    <comment ref="D52" authorId="0" shapeId="0">
      <text>
        <t>Loan: Webster Capital Finance. Interest = MAX(0, Opening * Rate/12)</t>
      </text>
    </comment>
    <comment ref="E52" authorId="0" shapeId="0">
      <text>
        <t>Loan: Webster Capital Finance. Principal = MAX(0, MIN(Opening, Payment - Interest))</t>
      </text>
    </comment>
    <comment ref="F52" authorId="0" shapeId="0">
      <text>
        <t>Loan: Webster Capital Finance. Closing = MAX(0, Opening - Principal)</t>
      </text>
    </comment>
    <comment ref="C53" authorId="0" shapeId="0">
      <text>
        <t>Loan: Webster Capital Finance. Opening = prior month closing balance.</t>
      </text>
    </comment>
    <comment ref="D53" authorId="0" shapeId="0">
      <text>
        <t>Loan: Webster Capital Finance. Interest = MAX(0, Opening * Rate/12)</t>
      </text>
    </comment>
    <comment ref="E53" authorId="0" shapeId="0">
      <text>
        <t>Loan: Webster Capital Finance. Principal = MAX(0, MIN(Opening, Payment - Interest))</t>
      </text>
    </comment>
    <comment ref="F53" authorId="0" shapeId="0">
      <text>
        <t>Loan: Webster Capital Finance. Closing = MAX(0, Opening - Principal)</t>
      </text>
    </comment>
    <comment ref="C54" authorId="0" shapeId="0">
      <text>
        <t>Loan: Webster Capital Finance. Opening = prior month closing balance.</t>
      </text>
    </comment>
    <comment ref="D54" authorId="0" shapeId="0">
      <text>
        <t>Loan: Webster Capital Finance. Interest = MAX(0, Opening * Rate/12)</t>
      </text>
    </comment>
    <comment ref="E54" authorId="0" shapeId="0">
      <text>
        <t>Loan: Webster Capital Finance. Principal = MAX(0, MIN(Opening, Payment - Interest))</t>
      </text>
    </comment>
    <comment ref="F54" authorId="0" shapeId="0">
      <text>
        <t>Loan: Webster Capital Finance. Closing = MAX(0, Opening - Principal)</t>
      </text>
    </comment>
    <comment ref="C55" authorId="0" shapeId="0">
      <text>
        <t>Loan: Webster Capital Finance. Opening = prior month closing balance.</t>
      </text>
    </comment>
    <comment ref="D55" authorId="0" shapeId="0">
      <text>
        <t>Loan: Webster Capital Finance. Interest = MAX(0, Opening * Rate/12)</t>
      </text>
    </comment>
    <comment ref="E55" authorId="0" shapeId="0">
      <text>
        <t>Loan: Webster Capital Finance. Principal = MAX(0, MIN(Opening, Payment - Interest))</t>
      </text>
    </comment>
    <comment ref="F55" authorId="0" shapeId="0">
      <text>
        <t>Loan: Webster Capital Finance. Closing = MAX(0, Opening - Principal)</t>
      </text>
    </comment>
    <comment ref="C56" authorId="0" shapeId="0">
      <text>
        <t>Loan: Webster Capital Finance. Opening = prior month closing balance.</t>
      </text>
    </comment>
    <comment ref="D56" authorId="0" shapeId="0">
      <text>
        <t>Loan: Webster Capital Finance. Interest = MAX(0, Opening * Rate/12)</t>
      </text>
    </comment>
    <comment ref="E56" authorId="0" shapeId="0">
      <text>
        <t>Loan: Webster Capital Finance. Principal = MAX(0, MIN(Opening, Payment - Interest))</t>
      </text>
    </comment>
    <comment ref="F56" authorId="0" shapeId="0">
      <text>
        <t>Loan: Webster Capital Finance. Closing = MAX(0, Opening - Principal)</t>
      </text>
    </comment>
    <comment ref="C57" authorId="0" shapeId="0">
      <text>
        <t>Loan: Webster Capital Finance. Opening = prior month closing balance.</t>
      </text>
    </comment>
    <comment ref="D57" authorId="0" shapeId="0">
      <text>
        <t>Loan: Webster Capital Finance. Interest = MAX(0, Opening * Rate/12)</t>
      </text>
    </comment>
    <comment ref="E57" authorId="0" shapeId="0">
      <text>
        <t>Loan: Webster Capital Finance. Principal = MAX(0, MIN(Opening, Payment - Interest))</t>
      </text>
    </comment>
    <comment ref="F57" authorId="0" shapeId="0">
      <text>
        <t>Loan: Webster Capital Finance. Closing = MAX(0, Opening - Principal)</t>
      </text>
    </comment>
    <comment ref="C58" authorId="0" shapeId="0">
      <text>
        <t>Loan: Webster Capital Finance. Opening = prior month closing balance.</t>
      </text>
    </comment>
    <comment ref="D58" authorId="0" shapeId="0">
      <text>
        <t>Loan: Webster Capital Finance. Interest = MAX(0, Opening * Rate/12)</t>
      </text>
    </comment>
    <comment ref="E58" authorId="0" shapeId="0">
      <text>
        <t>Loan: Webster Capital Finance. Principal = MAX(0, MIN(Opening, Payment - Interest))</t>
      </text>
    </comment>
    <comment ref="F58" authorId="0" shapeId="0">
      <text>
        <t>Loan: Webster Capital Finance. Closing = MAX(0, Opening - Principal)</t>
      </text>
    </comment>
    <comment ref="C63" authorId="0" shapeId="0">
      <text>
        <t>Sum of rows 23-34: Year 2026 opening balance</t>
      </text>
    </comment>
    <comment ref="D63" authorId="0" shapeId="0">
      <text>
        <t>Sum of rows 23-34: Year 2026 interest expense</t>
      </text>
    </comment>
    <comment ref="E63" authorId="0" shapeId="0">
      <text>
        <t>Sum of rows 23-34: Year 2026 principal repaid</t>
      </text>
    </comment>
    <comment ref="F63" authorId="0" shapeId="0">
      <text>
        <t>Sum of rows 23-34: Year 2026 closing balance</t>
      </text>
    </comment>
    <comment ref="C64" authorId="0" shapeId="0">
      <text>
        <t>Sum of rows 35-46: Year 2027 opening balance</t>
      </text>
    </comment>
    <comment ref="D64" authorId="0" shapeId="0">
      <text>
        <t>Sum of rows 35-46: Year 2027 interest expense</t>
      </text>
    </comment>
    <comment ref="E64" authorId="0" shapeId="0">
      <text>
        <t>Sum of rows 35-46: Year 2027 principal repaid</t>
      </text>
    </comment>
    <comment ref="F64" authorId="0" shapeId="0">
      <text>
        <t>Sum of rows 35-46: Year 2027 closing balance</t>
      </text>
    </comment>
    <comment ref="C65" authorId="0" shapeId="0">
      <text>
        <t>Sum of rows 47-58: Year 2028 opening balance</t>
      </text>
    </comment>
    <comment ref="D65" authorId="0" shapeId="0">
      <text>
        <t>Sum of rows 47-58: Year 2028 interest expense</t>
      </text>
    </comment>
    <comment ref="E65" authorId="0" shapeId="0">
      <text>
        <t>Sum of rows 47-58: Year 2028 principal repaid</t>
      </text>
    </comment>
    <comment ref="F65" authorId="0" shapeId="0">
      <text>
        <t>Sum of rows 47-58: Year 2028 closing balance</t>
      </text>
    </comment>
  </commentList>
</comments>
</file>

<file path=xl/comments/comment90.xml><?xml version="1.0" encoding="utf-8"?>
<comments xmlns="http://schemas.openxmlformats.org/spreadsheetml/2006/main">
  <authors>
    <author>Model Builder</author>
  </authors>
  <commentList>
    <comment ref="B7" authorId="0" shapeId="0">
      <text>
        <t>Links to: Income Statement row 29 - Net Income</t>
      </text>
    </comment>
    <comment ref="C7" authorId="0" shapeId="0">
      <text>
        <t>Links to: Income Statement row 29 - Net Income</t>
      </text>
    </comment>
    <comment ref="D7" authorId="0" shapeId="0">
      <text>
        <t>Links to: Income Statement row 29 - Net Income</t>
      </text>
    </comment>
    <comment ref="E7" authorId="0" shapeId="0">
      <text>
        <t>Links to: Income Statement row 29 - Net Income</t>
      </text>
    </comment>
    <comment ref="F7" authorId="0" shapeId="0">
      <text>
        <t>Links to: Income Statement row 29 - Net Income</t>
      </text>
    </comment>
    <comment ref="G7" authorId="0" shapeId="0">
      <text>
        <t>Links to: Income Statement row 29 - Net Income</t>
      </text>
    </comment>
    <comment ref="H7" authorId="0" shapeId="0">
      <text>
        <t>Links to: Income Statement row 29 - Net Income</t>
      </text>
    </comment>
    <comment ref="B9" authorId="0" shapeId="0">
      <text>
        <t>Links to: Income Statement row 17 - D&amp;A (negated to positive addback)</t>
      </text>
    </comment>
    <comment ref="C9" authorId="0" shapeId="0">
      <text>
        <t>Links to: Income Statement row 17 - D&amp;A (negated to positive addback)</t>
      </text>
    </comment>
    <comment ref="D9" authorId="0" shapeId="0">
      <text>
        <t>Links to: Income Statement row 17 - D&amp;A (negated to positive addback)</t>
      </text>
    </comment>
    <comment ref="E9" authorId="0" shapeId="0">
      <text>
        <t>Links to: Income Statement row 17 - D&amp;A (negated to positive addback)</t>
      </text>
    </comment>
    <comment ref="F9" authorId="0" shapeId="0">
      <text>
        <t>Links to: Income Statement row 17 - D&amp;A (reversed for add-back)</t>
      </text>
    </comment>
    <comment ref="G9" authorId="0" shapeId="0">
      <text>
        <t>Links to: Income Statement row 17 - D&amp;A (reversed for add-back)</t>
      </text>
    </comment>
    <comment ref="H9" authorId="0" shapeId="0">
      <text>
        <t>Links to: Income Statement row 17 - D&amp;A (reversed for add-back)</t>
      </text>
    </comment>
    <comment ref="B10" authorId="0" shapeId="0">
      <text>
        <t>Links to: Income Statement row 24 - Gain/Loss on Asset Sales (negated)</t>
      </text>
    </comment>
    <comment ref="C10" authorId="0" shapeId="0">
      <text>
        <t>Links to: Income Statement row 24 - Gain/Loss on Asset Sales (negated)</t>
      </text>
    </comment>
    <comment ref="D10" authorId="0" shapeId="0">
      <text>
        <t>Links to: Income Statement row 24 - Gain/Loss on Asset Sales (negated)</t>
      </text>
    </comment>
    <comment ref="E10" authorId="0" shapeId="0">
      <text>
        <t>Links to: Income Statement row 24 - Gain/Loss on Asset Sales (negated)</t>
      </text>
    </comment>
    <comment ref="F10" authorId="0" shapeId="0">
      <text>
        <t>Links to: Income Statement row 24 - Gain/Loss (reversed)</t>
      </text>
    </comment>
    <comment ref="G10" authorId="0" shapeId="0">
      <text>
        <t>Links to: Income Statement row 24 - Gain/Loss (reversed)</t>
      </text>
    </comment>
    <comment ref="H10" authorId="0" shapeId="0">
      <text>
        <t>Links to: Income Statement row 24 - Gain/Loss (reversed)</t>
      </text>
    </comment>
    <comment ref="B12" authorId="0" shapeId="0">
      <text>
        <t>No prior year data for 2022 - set to 0</t>
      </text>
    </comment>
    <comment ref="C12" authorId="0" shapeId="0">
      <text>
        <t>Links to: Balance Sheet row 8 - A/R (prior - current)</t>
      </text>
    </comment>
    <comment ref="D12" authorId="0" shapeId="0">
      <text>
        <t>Links to: Balance Sheet row 8 - A/R (prior - current)</t>
      </text>
    </comment>
    <comment ref="E12" authorId="0" shapeId="0">
      <text>
        <t>Links to: Balance Sheet row 8 - A/R (prior - current)</t>
      </text>
    </comment>
    <comment ref="F12" authorId="0" shapeId="0">
      <text>
        <t>Links to: Balance Sheet row 8 - A/R change (Prior - Current)</t>
      </text>
    </comment>
    <comment ref="G12" authorId="0" shapeId="0">
      <text>
        <t>Links to: Balance Sheet row 8 - A/R change (Prior - Current)</t>
      </text>
    </comment>
    <comment ref="H12" authorId="0" shapeId="0">
      <text>
        <t>Links to: Balance Sheet row 8 - A/R change (Prior - Current)</t>
      </text>
    </comment>
    <comment ref="B13" authorId="0" shapeId="0">
      <text>
        <t>No prior year data for 2022 - set to 0</t>
      </text>
    </comment>
    <comment ref="C13" authorId="0" shapeId="0">
      <text>
        <t>Links to: Balance Sheet row 10 - Inventories (prior - current)</t>
      </text>
    </comment>
    <comment ref="D13" authorId="0" shapeId="0">
      <text>
        <t>Links to: Balance Sheet row 10 - Inventories (prior - current)</t>
      </text>
    </comment>
    <comment ref="E13" authorId="0" shapeId="0">
      <text>
        <t>Links to: Balance Sheet row 10 - Inventories (prior - current)</t>
      </text>
    </comment>
    <comment ref="F13" authorId="0" shapeId="0">
      <text>
        <t>Links to: Balance Sheet row 10 - Inventory change (Prior - Current)</t>
      </text>
    </comment>
    <comment ref="G13" authorId="0" shapeId="0">
      <text>
        <t>Links to: Balance Sheet row 10 - Inventory change (Prior - Current)</t>
      </text>
    </comment>
    <comment ref="H13" authorId="0" shapeId="0">
      <text>
        <t>Links to: Balance Sheet row 10 - Inventory change (Prior - Current)</t>
      </text>
    </comment>
    <comment ref="B14" authorId="0" shapeId="0">
      <text>
        <t>No prior year data for 2022 - set to 0</t>
      </text>
    </comment>
    <comment ref="C14" authorId="0" shapeId="0">
      <text>
        <t>Links to: Balance Sheet row 12 - Other Current Assets (prior - current)</t>
      </text>
    </comment>
    <comment ref="D14" authorId="0" shapeId="0">
      <text>
        <t>Links to: Balance Sheet row 12 - Other Current Assets (prior - current)</t>
      </text>
    </comment>
    <comment ref="E14" authorId="0" shapeId="0">
      <text>
        <t>Links to: Balance Sheet row 12 - Other Current Assets (prior - current)</t>
      </text>
    </comment>
    <comment ref="F14" authorId="0" shapeId="0">
      <text>
        <t>Links to: Balance Sheet row 12 - Other CA change (Prior - Current)</t>
      </text>
    </comment>
    <comment ref="G14" authorId="0" shapeId="0">
      <text>
        <t>Links to: Balance Sheet row 12 - Other CA change (Prior - Current)</t>
      </text>
    </comment>
    <comment ref="H14" authorId="0" shapeId="0">
      <text>
        <t>Links to: Balance Sheet row 12 - Other CA change (Prior - Current)</t>
      </text>
    </comment>
    <comment ref="B15" authorId="0" shapeId="0">
      <text>
        <t>No prior year data for 2022 - set to 0</t>
      </text>
    </comment>
    <comment ref="C15" authorId="0" shapeId="0">
      <text>
        <t>Links to: Balance Sheet row 36 - A/P (current - prior)</t>
      </text>
    </comment>
    <comment ref="D15" authorId="0" shapeId="0">
      <text>
        <t>Links to: Balance Sheet row 36 - A/P (current - prior)</t>
      </text>
    </comment>
    <comment ref="E15" authorId="0" shapeId="0">
      <text>
        <t>Links to: Balance Sheet row 36 - A/P (current - prior)</t>
      </text>
    </comment>
    <comment ref="F15" authorId="0" shapeId="0">
      <text>
        <t>Links to: Balance Sheet row 36 - A/P change (Current - Prior)</t>
      </text>
    </comment>
    <comment ref="G15" authorId="0" shapeId="0">
      <text>
        <t>Links to: Balance Sheet row 36 - A/P change (Current - Prior)</t>
      </text>
    </comment>
    <comment ref="H15" authorId="0" shapeId="0">
      <text>
        <t>Links to: Balance Sheet row 36 - A/P change (Current - Prior)</t>
      </text>
    </comment>
    <comment ref="B16" authorId="0" shapeId="0">
      <text>
        <t>No prior year data for 2022 - set to 0</t>
      </text>
    </comment>
    <comment ref="C16" authorId="0" shapeId="0">
      <text>
        <t>Links to: Balance Sheet row 38 - Other Accrued (current - prior)</t>
      </text>
    </comment>
    <comment ref="D16" authorId="0" shapeId="0">
      <text>
        <t>Links to: Balance Sheet row 38 - Other Accrued (current - prior)</t>
      </text>
    </comment>
    <comment ref="E16" authorId="0" shapeId="0">
      <text>
        <t>Links to: Balance Sheet row 38 - Other Accrued (current - prior)</t>
      </text>
    </comment>
    <comment ref="F16" authorId="0" shapeId="0">
      <text>
        <t>Links to: Balance Sheet row 38 - Accrued Liab change (Current - Prior)</t>
      </text>
    </comment>
    <comment ref="G16" authorId="0" shapeId="0">
      <text>
        <t>Links to: Balance Sheet row 38 - Accrued Liab change (Current - Prior)</t>
      </text>
    </comment>
    <comment ref="H16" authorId="0" shapeId="0">
      <text>
        <t>Links to: Balance Sheet row 38 - Accrued Liab change (Current - Prior)</t>
      </text>
    </comment>
    <comment ref="B17" authorId="0" shapeId="0">
      <text>
        <t>Sum of rows 7-16: Operating activities</t>
      </text>
    </comment>
    <comment ref="C17" authorId="0" shapeId="0">
      <text>
        <t>Sum of rows 7-16: Operating activities</t>
      </text>
    </comment>
    <comment ref="D17" authorId="0" shapeId="0">
      <text>
        <t>Sum of rows 7-16: Operating activities</t>
      </text>
    </comment>
    <comment ref="E17" authorId="0" shapeId="0">
      <text>
        <t>Sum of rows 7-16: Operating activities</t>
      </text>
    </comment>
    <comment ref="F17" authorId="0" shapeId="0">
      <text>
        <t>Sum of rows 7-16: Net Income + D&amp;A + Gain/Loss + Working Capital changes</t>
      </text>
    </comment>
    <comment ref="G17" authorId="0" shapeId="0">
      <text>
        <t>Sum of rows 7-16: Net Income + D&amp;A + Gain/Loss + Working Capital changes</t>
      </text>
    </comment>
    <comment ref="H17" authorId="0" shapeId="0">
      <text>
        <t>Sum of rows 7-16: Net Income + D&amp;A + Gain/Loss + Working Capital changes</t>
      </text>
    </comment>
    <comment ref="B20" authorId="0" shapeId="0">
      <text>
        <t>No prior year data for 2022 - set to 0</t>
      </text>
    </comment>
    <comment ref="C20" authorId="0" shapeId="0">
      <text>
        <t>CapEx backed into from BS Net PP&amp;E change + D&amp;A. Links to: BS row 18, IS row 17</t>
      </text>
    </comment>
    <comment ref="D20" authorId="0" shapeId="0">
      <text>
        <t>CapEx backed into from BS Net PP&amp;E change + D&amp;A. Links to: BS row 18, IS row 17</t>
      </text>
    </comment>
    <comment ref="E20" authorId="0" shapeId="0">
      <text>
        <t>CapEx backed into from BS Net PP&amp;E change + D&amp;A. Links to: BS row 18, IS row 17</t>
      </text>
    </comment>
    <comment ref="F20" authorId="0" shapeId="0">
      <text>
        <t>Links to: Assumptions row 17 (Revenue) * row 39 (CapEx %) - negative for outflow</t>
      </text>
    </comment>
    <comment ref="G20" authorId="0" shapeId="0">
      <text>
        <t>Links to: Assumptions row 17 (Revenue) * row 39 (CapEx %) - negative for outflow</t>
      </text>
    </comment>
    <comment ref="H20" authorId="0" shapeId="0">
      <text>
        <t>Links to: Assumptions row 17 (Revenue) * row 39 (CapEx %) - negative for outflow</t>
      </text>
    </comment>
    <comment ref="B21" authorId="0" shapeId="0">
      <text>
        <t>Placeholder: Actual proceeds data not available from source</t>
      </text>
    </comment>
    <comment ref="C21" authorId="0" shapeId="0">
      <text>
        <t>Placeholder: Actual proceeds data not available from source</t>
      </text>
    </comment>
    <comment ref="D21" authorId="0" shapeId="0">
      <text>
        <t>Placeholder: Actual proceeds data not available from source</t>
      </text>
    </comment>
    <comment ref="E21" authorId="0" shapeId="0">
      <text>
        <t>Placeholder: Actual proceeds data not available from source</t>
      </text>
    </comment>
    <comment ref="F21" authorId="0" shapeId="0">
      <text>
        <t>Projection: Asset sale proceeds assumed zero</t>
      </text>
    </comment>
    <comment ref="G21" authorId="0" shapeId="0">
      <text>
        <t>Projection: Asset sale proceeds assumed zero</t>
      </text>
    </comment>
    <comment ref="H21" authorId="0" shapeId="0">
      <text>
        <t>Projection: Asset sale proceeds assumed zero</t>
      </text>
    </comment>
    <comment ref="B22" authorId="0" shapeId="0">
      <text>
        <t>No prior year data for 2022 - set to 0</t>
      </text>
    </comment>
    <comment ref="C22" authorId="0" shapeId="0">
      <text>
        <t>Links to: Balance Sheet row 25 - Notes Receivable (prior - current)</t>
      </text>
    </comment>
    <comment ref="D22" authorId="0" shapeId="0">
      <text>
        <t>Links to: Balance Sheet row 25 - Notes Receivable (prior - current)</t>
      </text>
    </comment>
    <comment ref="E22" authorId="0" shapeId="0">
      <text>
        <t>Links to: BS row 25 (2024) vs BS rows 21+22 (2025 N/R current + related party)</t>
      </text>
    </comment>
    <comment ref="F22" authorId="0" shapeId="0">
      <text>
        <t>Projection: Notes Receivable assumed flat (no change)</t>
      </text>
    </comment>
    <comment ref="G22" authorId="0" shapeId="0">
      <text>
        <t>Projection: Notes Receivable assumed flat (no change)</t>
      </text>
    </comment>
    <comment ref="H22" authorId="0" shapeId="0">
      <text>
        <t>Projection: Notes Receivable assumed flat (no change)</t>
      </text>
    </comment>
    <comment ref="B23" authorId="0" shapeId="0">
      <text>
        <t>Sum of rows 20-22: Investing activities</t>
      </text>
    </comment>
    <comment ref="C23" authorId="0" shapeId="0">
      <text>
        <t>Sum of rows 20-22: Investing activities</t>
      </text>
    </comment>
    <comment ref="D23" authorId="0" shapeId="0">
      <text>
        <t>Sum of rows 20-22: Investing activities</t>
      </text>
    </comment>
    <comment ref="E23" authorId="0" shapeId="0">
      <text>
        <t>Sum of rows 20-22: Investing activities</t>
      </text>
    </comment>
    <comment ref="F23" authorId="0" shapeId="0">
      <text>
        <t>Sum of rows 20-22: CapEx + Asset Sales + Notes Receivable changes</t>
      </text>
    </comment>
    <comment ref="G23" authorId="0" shapeId="0">
      <text>
        <t>Sum of rows 20-22: CapEx + Asset Sales + Notes Receivable changes</t>
      </text>
    </comment>
    <comment ref="H23" authorId="0" shapeId="0">
      <text>
        <t>Sum of rows 20-22: CapEx + Asset Sales + Notes Receivable changes</t>
      </text>
    </comment>
    <comment ref="B26" authorId="0" shapeId="0">
      <text>
        <t>No prior year data for 2022 - set to 0</t>
      </text>
    </comment>
    <comment ref="C26" authorId="0" shapeId="0">
      <text>
        <t>Links to: BS rows 32 (LOC), 33 (Current Bank Notes), 42 (LT Bank Notes)</t>
      </text>
    </comment>
    <comment ref="D26" authorId="0" shapeId="0">
      <text>
        <t>Links to: BS rows 32 (LOC), 33 (Current Bank Notes), 42 (LT Bank Notes)</t>
      </text>
    </comment>
    <comment ref="E26" authorId="0" shapeId="0">
      <text>
        <t>Links to: BS rows 32 (LOC), 33 (Current Bank Notes), 42 (LT Bank Notes)</t>
      </text>
    </comment>
    <comment ref="F26" authorId="0" shapeId="0">
      <text>
        <t>Links to: Assumptions row 42 (New Borrowings) - row 41 (Paydown)</t>
      </text>
    </comment>
    <comment ref="G26" authorId="0" shapeId="0">
      <text>
        <t>Links to: Assumptions row 42 (New Borrowings) - row 41 (Paydown)</t>
      </text>
    </comment>
    <comment ref="H26" authorId="0" shapeId="0">
      <text>
        <t>Links to: Assumptions row 42 (New Borrowings) - row 41 (Paydown)</t>
      </text>
    </comment>
    <comment ref="B27" authorId="0" shapeId="0">
      <text>
        <t>Capital lease data not available for historical years</t>
      </text>
    </comment>
    <comment ref="C27" authorId="0" shapeId="0">
      <text>
        <t>Capital lease data not available for historical years</t>
      </text>
    </comment>
    <comment ref="D27" authorId="0" shapeId="0">
      <text>
        <t>Capital lease data not available for historical years</t>
      </text>
    </comment>
    <comment ref="E27" authorId="0" shapeId="0">
      <text>
        <t>Links to: BS rows 34, 43 - Capital Leases (only 2025 data in BS)</t>
      </text>
    </comment>
    <comment ref="F27" authorId="0" shapeId="0">
      <text>
        <t>Links to: Balance Sheet rows 34+43 - Capital/Finance Lease liab change</t>
      </text>
    </comment>
    <comment ref="G27" authorId="0" shapeId="0">
      <text>
        <t>Links to: Balance Sheet rows 34+43 - Capital/Finance Lease liab change</t>
      </text>
    </comment>
    <comment ref="H27" authorId="0" shapeId="0">
      <text>
        <t>Links to: Balance Sheet rows 34+43 - Capital/Finance Lease liab change</t>
      </text>
    </comment>
    <comment ref="B28" authorId="0" shapeId="0">
      <text>
        <t>Operating lease data not available for historical years</t>
      </text>
    </comment>
    <comment ref="C28" authorId="0" shapeId="0">
      <text>
        <t>Operating lease data not available for historical years</t>
      </text>
    </comment>
    <comment ref="D28" authorId="0" shapeId="0">
      <text>
        <t>Operating lease data not available for historical years</t>
      </text>
    </comment>
    <comment ref="E28" authorId="0" shapeId="0">
      <text>
        <t>Links to: BS rows 35, 44 - Operating Lease Liabilities (only 2025 data in BS)</t>
      </text>
    </comment>
    <comment ref="F28" authorId="0" shapeId="0">
      <text>
        <t>Links to: Balance Sheet rows 35+44 - Operating Lease liab change</t>
      </text>
    </comment>
    <comment ref="G28" authorId="0" shapeId="0">
      <text>
        <t>Links to: Balance Sheet rows 35+44 - Operating Lease liab change</t>
      </text>
    </comment>
    <comment ref="H28" authorId="0" shapeId="0">
      <text>
        <t>Links to: Balance Sheet rows 35+44 - Operating Lease liab change</t>
      </text>
    </comment>
    <comment ref="B29" authorId="0" shapeId="0">
      <text>
        <t>No prior year data for 2022 - set to 0</t>
      </text>
    </comment>
    <comment ref="C29" authorId="0" shapeId="0">
      <text>
        <t>Backed into: Prior Equity + Net Income - Current Equity. Links to: BS row 54, IS row 29</t>
      </text>
    </comment>
    <comment ref="D29" authorId="0" shapeId="0">
      <text>
        <t>Backed into: Prior Equity + Net Income - Current Equity. Links to: BS row 54, IS row 29</t>
      </text>
    </comment>
    <comment ref="E29" authorId="0" shapeId="0">
      <text>
        <t>Links to: Balance Sheet row 53 - Distributions</t>
      </text>
    </comment>
    <comment ref="F29" authorId="0" shapeId="0">
      <text>
        <t>Links to: IS row 29 (Net Income) * Assumptions row 61 (Distribution Rate) - negative for outflow</t>
      </text>
    </comment>
    <comment ref="G29" authorId="0" shapeId="0">
      <text>
        <t>Links to: IS row 29 (Net Income) * Assumptions row 61 (Distribution Rate) - negative for outflow</t>
      </text>
    </comment>
    <comment ref="H29" authorId="0" shapeId="0">
      <text>
        <t>Links to: IS row 29 (Net Income) * Assumptions row 61 (Distribution Rate) - negative for outflow</t>
      </text>
    </comment>
    <comment ref="B30" authorId="0" shapeId="0">
      <text>
        <t>Sum of rows 26-29: Financing activities</t>
      </text>
    </comment>
    <comment ref="C30" authorId="0" shapeId="0">
      <text>
        <t>Sum of rows 26-29: Financing activities</t>
      </text>
    </comment>
    <comment ref="D30" authorId="0" shapeId="0">
      <text>
        <t>Sum of rows 26-29: Financing activities</t>
      </text>
    </comment>
    <comment ref="E30" authorId="0" shapeId="0">
      <text>
        <t>Sum of rows 26-29: Financing activities</t>
      </text>
    </comment>
    <comment ref="F30" authorId="0" shapeId="0">
      <text>
        <t>Sum of rows 26-29: Net Borrowings + Lease changes + Distributions</t>
      </text>
    </comment>
    <comment ref="G30" authorId="0" shapeId="0">
      <text>
        <t>Sum of rows 26-29: Net Borrowings + Lease changes + Distributions</t>
      </text>
    </comment>
    <comment ref="H30" authorId="0" shapeId="0">
      <text>
        <t>Sum of rows 26-29: Net Borrowings + Lease changes + Distributions</t>
      </text>
    </comment>
    <comment ref="B33" authorId="0" shapeId="0">
      <text>
        <t>CFO (row 17) + CFI (row 23) + CFF (row 30)</t>
      </text>
    </comment>
    <comment ref="C33" authorId="0" shapeId="0">
      <text>
        <t>CFO (row 17) + CFI (row 23) + CFF (row 30)</t>
      </text>
    </comment>
    <comment ref="D33" authorId="0" shapeId="0">
      <text>
        <t>CFO (row 17) + CFI (row 23) + CFF (row 30)</t>
      </text>
    </comment>
    <comment ref="E33" authorId="0" shapeId="0">
      <text>
        <t>CFO (row 17) + CFI (row 23) + CFF (row 30)</t>
      </text>
    </comment>
    <comment ref="F33" authorId="0" shapeId="0">
      <text>
        <t>Net Change = CFO + CFI + CFF</t>
      </text>
    </comment>
    <comment ref="G33" authorId="0" shapeId="0">
      <text>
        <t>Net Change = CFO + CFI + CFF</t>
      </text>
    </comment>
    <comment ref="H33" authorId="0" shapeId="0">
      <text>
        <t>Net Change = CFO + CFI + CFF</t>
      </text>
    </comment>
    <comment ref="B34" authorId="0" shapeId="0">
      <text>
        <t>Source: balance_sheet.md, 2021 Cash $1,136,195</t>
      </text>
    </comment>
    <comment ref="C34" authorId="0" shapeId="0">
      <text>
        <t>Links to: Balance Sheet row 7 - Cash (prior year)</t>
      </text>
    </comment>
    <comment ref="D34" authorId="0" shapeId="0">
      <text>
        <t>Links to: Balance Sheet row 7 - Cash (prior year)</t>
      </text>
    </comment>
    <comment ref="E34" authorId="0" shapeId="0">
      <text>
        <t>Links to: Balance Sheet row 7 - Cash (prior year)</t>
      </text>
    </comment>
    <comment ref="F34" authorId="0" shapeId="0">
      <text>
        <t>Beginning Cash = Prior year Ending Cash (col E)</t>
      </text>
    </comment>
    <comment ref="G34" authorId="0" shapeId="0">
      <text>
        <t>Beginning Cash = Prior year Ending Cash (col F)</t>
      </text>
    </comment>
    <comment ref="H34" authorId="0" shapeId="0">
      <text>
        <t>Beginning Cash = Prior year Ending Cash (col G)</t>
      </text>
    </comment>
    <comment ref="B35" authorId="0" shapeId="0">
      <text>
        <t>Beginning Cash (row 34) + Net Change (row 33)</t>
      </text>
    </comment>
    <comment ref="C35" authorId="0" shapeId="0">
      <text>
        <t>Beginning Cash (row 34) + Net Change (row 33)</t>
      </text>
    </comment>
    <comment ref="D35" authorId="0" shapeId="0">
      <text>
        <t>Beginning Cash (row 34) + Net Change (row 33)</t>
      </text>
    </comment>
    <comment ref="E35" authorId="0" shapeId="0">
      <text>
        <t>Beginning Cash (row 34) + Net Change (row 33)</t>
      </text>
    </comment>
    <comment ref="F35" authorId="0" shapeId="0">
      <text>
        <t>Ending Cash = Beginning Cash + Net Change</t>
      </text>
    </comment>
    <comment ref="G35" authorId="0" shapeId="0">
      <text>
        <t>Ending Cash = Beginning Cash + Net Change</t>
      </text>
    </comment>
    <comment ref="H35" authorId="0" shapeId="0">
      <text>
        <t>Ending Cash = Beginning Cash + Net Change</t>
      </text>
    </comment>
    <comment ref="B38" authorId="0" shapeId="0">
      <text>
        <t>Check: must be 0. Non-zero = model error. CF Ending (row 35) - BS Cash (BS row 7)</t>
      </text>
    </comment>
    <comment ref="C38" authorId="0" shapeId="0">
      <text>
        <t>Check: must be 0. Non-zero = model error. CF Ending (row 35) - BS Cash (BS row 7)</t>
      </text>
    </comment>
    <comment ref="D38" authorId="0" shapeId="0">
      <text>
        <t>Check: must be 0. Non-zero = model error. CF Ending (row 35) - BS Cash (BS row 7)</t>
      </text>
    </comment>
    <comment ref="E38" authorId="0" shapeId="0">
      <text>
        <t>Check: must be 0. Non-zero = model error. CF Ending (row 35) - BS Cash (BS row 7)</t>
      </text>
    </comment>
    <comment ref="F38" authorId="0" shapeId="0">
      <text>
        <t>Check: must be 0. Non-zero = model error.</t>
      </text>
    </comment>
    <comment ref="G38" authorId="0" shapeId="0">
      <text>
        <t>Check: must be 0. Non-zero = model error.</t>
      </text>
    </comment>
    <comment ref="H38" authorId="0" shapeId="0">
      <text>
        <t>Check: must be 0. Non-zero = model error.</t>
      </text>
    </comment>
    <comment ref="B39" authorId="0" shapeId="0">
      <text>
        <t>No prior year for 2022</t>
      </text>
    </comment>
    <comment ref="C39" authorId="0" shapeId="0">
      <text>
        <t>Check: must be 0. BS Cash change vs CF Net Change. Links to: BS row 7</t>
      </text>
    </comment>
    <comment ref="D39" authorId="0" shapeId="0">
      <text>
        <t>Check: must be 0. BS Cash change vs CF Net Change. Links to: BS row 7</t>
      </text>
    </comment>
    <comment ref="E39" authorId="0" shapeId="0">
      <text>
        <t>Check: must be 0. BS Cash change vs CF Net Change. Links to: BS row 7</t>
      </text>
    </comment>
    <comment ref="F39" authorId="0" shapeId="0">
      <text>
        <t>Check: BS Cash change must equal CF Net Change</t>
      </text>
    </comment>
    <comment ref="G39" authorId="0" shapeId="0">
      <text>
        <t>Check: BS Cash change must equal CF Net Change</t>
      </text>
    </comment>
    <comment ref="H39" authorId="0" shapeId="0">
      <text>
        <t>Check: BS Cash change must equal CF Net Change</t>
      </text>
    </comment>
  </commentList>
</comments>
</file>

<file path=xl/comments/comment91.xml><?xml version="1.0" encoding="utf-8"?>
<comments xmlns="http://schemas.openxmlformats.org/spreadsheetml/2006/main">
  <authors>
    <author>Model Builder</author>
  </authors>
  <commentList>
    <comment ref="D3" authorId="0" shapeId="0">
      <text>
        <t>Scenario Toggle: 1=Downside, 2=Base, 3=Upside. Change this cell to switch scenarios. All projection formulas reference this cell via =CHOOSE($D$3, ...).</t>
      </text>
    </comment>
    <comment ref="D12" authorId="0" shapeId="0">
      <text>
        <t>Driver: Downside revenue growth assumption. Conservative estimate.</t>
      </text>
    </comment>
    <comment ref="E12" authorId="0" shapeId="0">
      <text>
        <t>Driver: Downside revenue growth assumption. Conservative estimate.</t>
      </text>
    </comment>
    <comment ref="F12" authorId="0" shapeId="0">
      <text>
        <t>Driver: Downside revenue growth assumption. Conservative estimate.</t>
      </text>
    </comment>
    <comment ref="D13" authorId="0" shapeId="0">
      <text>
        <t>Driver: Base case (management case) revenue growth assumption.</t>
      </text>
    </comment>
    <comment ref="E13" authorId="0" shapeId="0">
      <text>
        <t>Driver: Base case (management case) revenue growth assumption.</t>
      </text>
    </comment>
    <comment ref="F13" authorId="0" shapeId="0">
      <text>
        <t>Driver: Base case (management case) revenue growth assumption.</t>
      </text>
    </comment>
    <comment ref="D14" authorId="0" shapeId="0">
      <text>
        <t>Driver: Upside revenue growth assumption. Aggressive estimate.</t>
      </text>
    </comment>
    <comment ref="E14" authorId="0" shapeId="0">
      <text>
        <t>Driver: Upside revenue growth assumption. Aggressive estimate.</t>
      </text>
    </comment>
    <comment ref="F14" authorId="0" shapeId="0">
      <text>
        <t>Driver: Upside revenue growth assumption. Aggressive estimate.</t>
      </text>
    </comment>
    <comment ref="D15" authorId="0" shapeId="0">
      <text>
        <t>Projection: Selects Downside/Base/Upside based on D3 toggle.</t>
      </text>
    </comment>
    <comment ref="E15" authorId="0" shapeId="0">
      <text>
        <t>Projection: Selects Downside/Base/Upside based on D3 toggle.</t>
      </text>
    </comment>
    <comment ref="F15" authorId="0" shapeId="0">
      <text>
        <t>Projection: Selects Downside/Base/Upside based on D3 toggle.</t>
      </text>
    </comment>
    <comment ref="C16" authorId="0" shapeId="0">
      <text>
        <t>Source: data/income_statement.md - 2025 Full Year Actual. Revenue = $109,431,743</t>
      </text>
    </comment>
    <comment ref="D16" authorId="0" shapeId="0">
      <text>
        <t>Links to: Prior year projected revenue.</t>
      </text>
    </comment>
    <comment ref="E16" authorId="0" shapeId="0">
      <text>
        <t>Links to: Prior year projected revenue.</t>
      </text>
    </comment>
    <comment ref="F16" authorId="0" shapeId="0">
      <text>
        <t>Links to: Prior year projected revenue.</t>
      </text>
    </comment>
    <comment ref="C17" authorId="0" shapeId="0">
      <text>
        <t>Source: data/income_statement.md - 2025 Actual Revenue = $109,431,743</t>
      </text>
    </comment>
    <comment ref="D17" authorId="0" shapeId="0">
      <text>
        <t>Projection: Prior Year * (1 + Growth Rate)</t>
      </text>
    </comment>
    <comment ref="E17" authorId="0" shapeId="0">
      <text>
        <t>Projection: Prior Year * (1 + Growth Rate)</t>
      </text>
    </comment>
    <comment ref="F17" authorId="0" shapeId="0">
      <text>
        <t>Projection: Prior Year * (1 + Growth Rate)</t>
      </text>
    </comment>
    <comment ref="C24" authorId="0" shapeId="0">
      <text>
        <t>Source: data/income_statement.md - 2025A Gross Margin = 37.4%</t>
      </text>
    </comment>
    <comment ref="D24" authorId="0" shapeId="0">
      <text>
        <t>Driver: Downside gross margin assumption.</t>
      </text>
    </comment>
    <comment ref="E24" authorId="0" shapeId="0">
      <text>
        <t>Driver: Downside gross margin assumption.</t>
      </text>
    </comment>
    <comment ref="F24" authorId="0" shapeId="0">
      <text>
        <t>Driver: Downside gross margin assumption.</t>
      </text>
    </comment>
    <comment ref="C25" authorId="0" shapeId="0">
      <text>
        <t>Source: data/income_statement.md - 2025A Gross Margin = 37.4%</t>
      </text>
    </comment>
    <comment ref="D25" authorId="0" shapeId="0">
      <text>
        <t>Driver: Base case gross margin assumption (management case).</t>
      </text>
    </comment>
    <comment ref="E25" authorId="0" shapeId="0">
      <text>
        <t>Driver: Base case gross margin assumption (management case).</t>
      </text>
    </comment>
    <comment ref="F25" authorId="0" shapeId="0">
      <text>
        <t>Driver: Base case gross margin assumption (management case).</t>
      </text>
    </comment>
    <comment ref="C26" authorId="0" shapeId="0">
      <text>
        <t>Source: data/income_statement.md - 2025A Gross Margin = 37.4%</t>
      </text>
    </comment>
    <comment ref="D26" authorId="0" shapeId="0">
      <text>
        <t>Driver: Upside gross margin assumption.</t>
      </text>
    </comment>
    <comment ref="E26" authorId="0" shapeId="0">
      <text>
        <t>Driver: Upside gross margin assumption.</t>
      </text>
    </comment>
    <comment ref="F26" authorId="0" shapeId="0">
      <text>
        <t>Driver: Upside gross margin assumption.</t>
      </text>
    </comment>
    <comment ref="D27" authorId="0" shapeId="0">
      <text>
        <t>Projection: Selects Downside/Base/Upside based on D3 toggle.</t>
      </text>
    </comment>
    <comment ref="E27" authorId="0" shapeId="0">
      <text>
        <t>Projection: Selects Downside/Base/Upside based on D3 toggle.</t>
      </text>
    </comment>
    <comment ref="F27" authorId="0" shapeId="0">
      <text>
        <t>Projection: Selects Downside/Base/Upside based on D3 toggle.</t>
      </text>
    </comment>
    <comment ref="C28" authorId="0" shapeId="0">
      <text>
        <t>Source: data/income_statement.md - 2025A OpEx % = 27.3%</t>
      </text>
    </comment>
    <comment ref="D28" authorId="0" shapeId="0">
      <text>
        <t>Driver: Downside OpEx % assumption.</t>
      </text>
    </comment>
    <comment ref="E28" authorId="0" shapeId="0">
      <text>
        <t>Driver: Downside OpEx % assumption.</t>
      </text>
    </comment>
    <comment ref="F28" authorId="0" shapeId="0">
      <text>
        <t>Driver: Downside OpEx % assumption.</t>
      </text>
    </comment>
    <comment ref="C29" authorId="0" shapeId="0">
      <text>
        <t>Source: data/income_statement.md - 2025A OpEx % = 27.3%</t>
      </text>
    </comment>
    <comment ref="D29" authorId="0" shapeId="0">
      <text>
        <t>Driver: Base case OpEx % assumption (management case).</t>
      </text>
    </comment>
    <comment ref="E29" authorId="0" shapeId="0">
      <text>
        <t>Driver: Base case OpEx % assumption (management case).</t>
      </text>
    </comment>
    <comment ref="F29" authorId="0" shapeId="0">
      <text>
        <t>Driver: Base case OpEx % assumption (management case).</t>
      </text>
    </comment>
    <comment ref="C30" authorId="0" shapeId="0">
      <text>
        <t>Source: data/income_statement.md - 2025A OpEx % = 27.3%</t>
      </text>
    </comment>
    <comment ref="D30" authorId="0" shapeId="0">
      <text>
        <t>Driver: Upside OpEx % assumption.</t>
      </text>
    </comment>
    <comment ref="E30" authorId="0" shapeId="0">
      <text>
        <t>Driver: Upside OpEx % assumption.</t>
      </text>
    </comment>
    <comment ref="F30" authorId="0" shapeId="0">
      <text>
        <t>Driver: Upside OpEx % assumption.</t>
      </text>
    </comment>
    <comment ref="D31" authorId="0" shapeId="0">
      <text>
        <t>Projection: Selects Downside/Base/Upside based on D3 toggle.</t>
      </text>
    </comment>
    <comment ref="E31" authorId="0" shapeId="0">
      <text>
        <t>Projection: Selects Downside/Base/Upside based on D3 toggle.</t>
      </text>
    </comment>
    <comment ref="F31" authorId="0" shapeId="0">
      <text>
        <t>Projection: Selects Downside/Base/Upside based on D3 toggle.</t>
      </text>
    </comment>
    <comment ref="D36" authorId="0" shapeId="0">
      <text>
        <t>Driver: Downside CapEx % assumption.</t>
      </text>
    </comment>
    <comment ref="E36" authorId="0" shapeId="0">
      <text>
        <t>Driver: Downside CapEx % assumption.</t>
      </text>
    </comment>
    <comment ref="F36" authorId="0" shapeId="0">
      <text>
        <t>Driver: Downside CapEx % assumption.</t>
      </text>
    </comment>
    <comment ref="D37" authorId="0" shapeId="0">
      <text>
        <t>Driver: Base case CapEx % assumption.</t>
      </text>
    </comment>
    <comment ref="E37" authorId="0" shapeId="0">
      <text>
        <t>Driver: Base case CapEx % assumption.</t>
      </text>
    </comment>
    <comment ref="F37" authorId="0" shapeId="0">
      <text>
        <t>Driver: Base case CapEx % assumption.</t>
      </text>
    </comment>
    <comment ref="D38" authorId="0" shapeId="0">
      <text>
        <t>Driver: Upside CapEx % assumption (more efficient).</t>
      </text>
    </comment>
    <comment ref="E38" authorId="0" shapeId="0">
      <text>
        <t>Driver: Upside CapEx % assumption (more efficient).</t>
      </text>
    </comment>
    <comment ref="F38" authorId="0" shapeId="0">
      <text>
        <t>Driver: Upside CapEx % assumption (more efficient).</t>
      </text>
    </comment>
    <comment ref="D39" authorId="0" shapeId="0">
      <text>
        <t>Projection: Selects Downside/Base/Upside based on D3 toggle.</t>
      </text>
    </comment>
    <comment ref="E39" authorId="0" shapeId="0">
      <text>
        <t>Projection: Selects Downside/Base/Upside based on D3 toggle.</t>
      </text>
    </comment>
    <comment ref="F39" authorId="0" shapeId="0">
      <text>
        <t>Projection: Selects Downside/Base/Upside based on D3 toggle.</t>
      </text>
    </comment>
    <comment ref="C40" authorId="0" shapeId="0">
      <text>
        <t>Driver: Blended interest rate assumption. Based on 2025A debt portfolio analysis.</t>
      </text>
    </comment>
    <comment ref="D40" authorId="0" shapeId="0">
      <text>
        <t>Projection: Uses base year interest rate assumption.</t>
      </text>
    </comment>
    <comment ref="E40" authorId="0" shapeId="0">
      <text>
        <t>Projection: Uses base year interest rate assumption.</t>
      </text>
    </comment>
    <comment ref="F40" authorId="0" shapeId="0">
      <text>
        <t>Projection: Uses base year interest rate assumption.</t>
      </text>
    </comment>
    <comment ref="C41" authorId="0" shapeId="0">
      <text>
        <t>Driver: Annual debt principal paydown. Based on 2025A debt service analysis.</t>
      </text>
    </comment>
    <comment ref="D41" authorId="0" shapeId="0">
      <text>
        <t>Projection: Uses base year debt paydown assumption.</t>
      </text>
    </comment>
    <comment ref="E41" authorId="0" shapeId="0">
      <text>
        <t>Projection: Uses base year debt paydown assumption.</t>
      </text>
    </comment>
    <comment ref="F41" authorId="0" shapeId="0">
      <text>
        <t>Projection: Uses base year debt paydown assumption.</t>
      </text>
    </comment>
    <comment ref="C42" authorId="0" shapeId="0">
      <text>
        <t>Driver: Annual new borrowing assumption for equipment financing.</t>
      </text>
    </comment>
    <comment ref="D42" authorId="0" shapeId="0">
      <text>
        <t>Projection: Uses base year new borrowings assumption.</t>
      </text>
    </comment>
    <comment ref="E42" authorId="0" shapeId="0">
      <text>
        <t>Projection: Uses base year new borrowings assumption.</t>
      </text>
    </comment>
    <comment ref="F42" authorId="0" shapeId="0">
      <text>
        <t>Projection: Uses base year new borrowings assumption.</t>
      </text>
    </comment>
    <comment ref="C48" authorId="0" shapeId="0">
      <text>
        <t>Source: data/balance_sheet.md - A/R $11,392,344 / Revenue $109,431,743 * 365 = 38.0 days</t>
      </text>
    </comment>
    <comment ref="D48" authorId="0" shapeId="0">
      <text>
        <t>Projection: Uses base year A/R days assumption.</t>
      </text>
    </comment>
    <comment ref="E48" authorId="0" shapeId="0">
      <text>
        <t>Projection: Uses base year A/R days assumption.</t>
      </text>
    </comment>
    <comment ref="F48" authorId="0" shapeId="0">
      <text>
        <t>Projection: Uses base year A/R days assumption.</t>
      </text>
    </comment>
    <comment ref="C49" authorId="0" shapeId="0">
      <text>
        <t>Source: data/balance_sheet.md - Inventory $1,288,789 / COGS $68,461,361 * 365 = 6.9 days</t>
      </text>
    </comment>
    <comment ref="D49" authorId="0" shapeId="0">
      <text>
        <t>Projection: Uses base year inventory days assumption.</t>
      </text>
    </comment>
    <comment ref="E49" authorId="0" shapeId="0">
      <text>
        <t>Projection: Uses base year inventory days assumption.</t>
      </text>
    </comment>
    <comment ref="F49" authorId="0" shapeId="0">
      <text>
        <t>Projection: Uses base year inventory days assumption.</t>
      </text>
    </comment>
    <comment ref="C50" authorId="0" shapeId="0">
      <text>
        <t>Source: data/balance_sheet.md - A/P $7,975,753 / COGS $68,461,361 * 365 = 42.5 days</t>
      </text>
    </comment>
    <comment ref="D50" authorId="0" shapeId="0">
      <text>
        <t>Projection: Uses base year A/P days assumption.</t>
      </text>
    </comment>
    <comment ref="E50" authorId="0" shapeId="0">
      <text>
        <t>Projection: Uses base year A/P days assumption.</t>
      </text>
    </comment>
    <comment ref="F50" authorId="0" shapeId="0">
      <text>
        <t>Projection: Uses base year A/P days assumption.</t>
      </text>
    </comment>
    <comment ref="C60" authorId="0" shapeId="0">
      <text>
        <t>Driver: S-Corp pass-through entity. No corporate tax at entity level.</t>
      </text>
    </comment>
    <comment ref="D60" authorId="0" shapeId="0">
      <text>
        <t>Projection: Uses 0% tax rate (S-Corp).</t>
      </text>
    </comment>
    <comment ref="E60" authorId="0" shapeId="0">
      <text>
        <t>Projection: Uses 0% tax rate (S-Corp).</t>
      </text>
    </comment>
    <comment ref="F60" authorId="0" shapeId="0">
      <text>
        <t>Projection: Uses 0% tax rate (S-Corp).</t>
      </text>
    </comment>
    <comment ref="C61" authorId="0" shapeId="0">
      <text>
        <t>Driver: Owner distribution rate as % of prior year equity. Assumption for S-Corp distributions.</t>
      </text>
    </comment>
    <comment ref="D61" authorId="0" shapeId="0">
      <text>
        <t>Projection: Uses base year distribution rate assumption.</t>
      </text>
    </comment>
    <comment ref="E61" authorId="0" shapeId="0">
      <text>
        <t>Projection: Uses base year distribution rate assumption.</t>
      </text>
    </comment>
    <comment ref="F61" authorId="0" shapeId="0">
      <text>
        <t>Projection: Uses base year distribution rate assumption.</t>
      </text>
    </comment>
    <comment ref="C62" authorId="0" shapeId="0">
      <text>
        <t>Source: data/income_statement.md - 2025A Depreciation = $8,207,235</t>
      </text>
    </comment>
    <comment ref="D62" authorId="0" shapeId="0">
      <text>
        <t>Projection: Prior year depreciation * 95% (declining rate as assets age out).</t>
      </text>
    </comment>
    <comment ref="E62" authorId="0" shapeId="0">
      <text>
        <t>Projection: Prior year depreciation * 95% (declining rate as assets age out).</t>
      </text>
    </comment>
    <comment ref="F62" authorId="0" shapeId="0">
      <text>
        <t>Projection: Prior year depreciation * 95% (declining rate as assets age out).</t>
      </text>
    </comment>
  </commentList>
</comments>
</file>

<file path=xl/comments/comment92.xml><?xml version="1.0" encoding="utf-8"?>
<comments xmlns="http://schemas.openxmlformats.org/spreadsheetml/2006/main">
  <authors>
    <author>Model Builder</author>
  </authors>
  <commentList>
    <comment ref="A5" authorId="0" shapeId="0">
      <text>
        <t>Revenue detail section - granular breakdown by revenue stream</t>
      </text>
    </comment>
    <comment ref="C6" authorId="0" shapeId="0">
      <text>
        <t>Estimated: 2022A Freight based on 2025 proportion (38.37%). Source: 13 Year Summary Financials.xlsx</t>
      </text>
    </comment>
    <comment ref="D6" authorId="0" shapeId="0">
      <text>
        <t>Estimated: 2023A Freight based on 2025 proportion (38.37%). Source: 13 Year Summary Financials.xlsx</t>
      </text>
    </comment>
    <comment ref="E6" authorId="0" shapeId="0">
      <text>
        <t>Estimated: 2024A Freight based on 2025 proportion (38.37%). Source: 13 Year Summary Financials.xlsx</t>
      </text>
    </comment>
    <comment ref="F6" authorId="0" shapeId="0">
      <text>
        <t>Source: Meiborg_YTD_IS_2025_12.pdf, Revenue Detail section
Extracted: 2026-05-14</t>
      </text>
    </comment>
    <comment ref="G6" authorId="0" shapeId="0">
      <text>
        <t>Projection: Based on 5% annual growth from 2025A</t>
      </text>
    </comment>
    <comment ref="H6" authorId="0" shapeId="0">
      <text>
        <t>Projection: Based on 5% annual growth from 2025A</t>
      </text>
    </comment>
    <comment ref="I6" authorId="0" shapeId="0">
      <text>
        <t>Projection: Based on 5% annual growth from 2025A</t>
      </text>
    </comment>
    <comment ref="J6" authorId="0" shapeId="0">
      <text>
        <t>Analyst note: Flag for QoE review</t>
      </text>
    </comment>
    <comment ref="C7" authorId="0" shapeId="0">
      <text>
        <t>Estimated: 2022A Shuttle based on 2025 proportion (5.78%). Source: 13 Year Summary Financials.xlsx</t>
      </text>
    </comment>
    <comment ref="D7" authorId="0" shapeId="0">
      <text>
        <t>Estimated: 2023A Shuttle based on 2025 proportion (5.78%). Source: 13 Year Summary Financials.xlsx</t>
      </text>
    </comment>
    <comment ref="E7" authorId="0" shapeId="0">
      <text>
        <t>Estimated: 2024A Shuttle based on 2025 proportion (5.78%). Source: 13 Year Summary Financials.xlsx</t>
      </text>
    </comment>
    <comment ref="F7" authorId="0" shapeId="0">
      <text>
        <t>Source: Meiborg_YTD_IS_2025_12.pdf, Revenue Detail section
Extracted: 2026-05-14</t>
      </text>
    </comment>
    <comment ref="G7" authorId="0" shapeId="0">
      <text>
        <t>Projection: Based on 5% annual growth from 2025A</t>
      </text>
    </comment>
    <comment ref="H7" authorId="0" shapeId="0">
      <text>
        <t>Projection: Based on 5% annual growth from 2025A</t>
      </text>
    </comment>
    <comment ref="I7" authorId="0" shapeId="0">
      <text>
        <t>Projection: Based on 5% annual growth from 2025A</t>
      </text>
    </comment>
    <comment ref="C8" authorId="0" shapeId="0">
      <text>
        <t>Estimated: 2022A Brokerage based on 2025 proportion (22.90%). Source: 13 Year Summary Financials.xlsx</t>
      </text>
    </comment>
    <comment ref="D8" authorId="0" shapeId="0">
      <text>
        <t>Estimated: 2023A Brokerage based on 2025 proportion (22.90%). Source: 13 Year Summary Financials.xlsx</t>
      </text>
    </comment>
    <comment ref="E8" authorId="0" shapeId="0">
      <text>
        <t>Estimated: 2024A Brokerage based on 2025 proportion (22.90%). Source: 13 Year Summary Financials.xlsx</t>
      </text>
    </comment>
    <comment ref="F8" authorId="0" shapeId="0">
      <text>
        <t>Source: Meiborg_YTD_IS_2025_12.pdf, Revenue Detail section
Extracted: 2026-05-14</t>
      </text>
    </comment>
    <comment ref="G8" authorId="0" shapeId="0">
      <text>
        <t>Projection: Based on 5% annual growth from 2025A</t>
      </text>
    </comment>
    <comment ref="H8" authorId="0" shapeId="0">
      <text>
        <t>Projection: Based on 5% annual growth from 2025A</t>
      </text>
    </comment>
    <comment ref="I8" authorId="0" shapeId="0">
      <text>
        <t>Projection: Based on 5% annual growth from 2025A</t>
      </text>
    </comment>
    <comment ref="J8" authorId="0" shapeId="0">
      <text>
        <t>Analyst note: Flag for QoE review</t>
      </text>
    </comment>
    <comment ref="C9" authorId="0" shapeId="0">
      <text>
        <t>Estimated: 2022A Shop based on 2025 proportion (3.38%). Source: 13 Year Summary Financials.xlsx</t>
      </text>
    </comment>
    <comment ref="D9" authorId="0" shapeId="0">
      <text>
        <t>Estimated: 2023A Shop based on 2025 proportion (3.38%). Source: 13 Year Summary Financials.xlsx</t>
      </text>
    </comment>
    <comment ref="E9" authorId="0" shapeId="0">
      <text>
        <t>Estimated: 2024A Shop based on 2025 proportion (3.38%). Source: 13 Year Summary Financials.xlsx</t>
      </text>
    </comment>
    <comment ref="F9" authorId="0" shapeId="0">
      <text>
        <t>Source: Meiborg_YTD_IS_2025_12.pdf, Revenue Detail section
Extracted: 2026-05-14</t>
      </text>
    </comment>
    <comment ref="G9" authorId="0" shapeId="0">
      <text>
        <t>Projection: Based on 5% annual growth from 2025A</t>
      </text>
    </comment>
    <comment ref="H9" authorId="0" shapeId="0">
      <text>
        <t>Projection: Based on 5% annual growth from 2025A</t>
      </text>
    </comment>
    <comment ref="I9" authorId="0" shapeId="0">
      <text>
        <t>Projection: Based on 5% annual growth from 2025A</t>
      </text>
    </comment>
    <comment ref="C10" authorId="0" shapeId="0">
      <text>
        <t>Estimated: 2022A Tractor &amp; Trailer Leases based on 2025 proportion (1.73%). Source: 13 Year Summary Financials.xlsx</t>
      </text>
    </comment>
    <comment ref="D10" authorId="0" shapeId="0">
      <text>
        <t>Estimated: 2023A Tractor &amp; Trailer Leases based on 2025 proportion (1.73%). Source: 13 Year Summary Financials.xlsx</t>
      </text>
    </comment>
    <comment ref="E10" authorId="0" shapeId="0">
      <text>
        <t>Estimated: 2024A Tractor &amp; Trailer Leases based on 2025 proportion (1.73%). Source: 13 Year Summary Financials.xlsx</t>
      </text>
    </comment>
    <comment ref="F10" authorId="0" shapeId="0">
      <text>
        <t>Source: Meiborg_YTD_IS_2025_12.pdf, Revenue Detail section
Extracted: 2026-05-14</t>
      </text>
    </comment>
    <comment ref="G10" authorId="0" shapeId="0">
      <text>
        <t>Projection: Based on 5% annual growth from 2025A</t>
      </text>
    </comment>
    <comment ref="H10" authorId="0" shapeId="0">
      <text>
        <t>Projection: Based on 5% annual growth from 2025A</t>
      </text>
    </comment>
    <comment ref="I10" authorId="0" shapeId="0">
      <text>
        <t>Projection: Based on 5% annual growth from 2025A</t>
      </text>
    </comment>
    <comment ref="C11" authorId="0" shapeId="0">
      <text>
        <t>Estimated: 2022A Trailer Rentals based on 2025 proportion (0.43%). Source: 13 Year Summary Financials.xlsx</t>
      </text>
    </comment>
    <comment ref="D11" authorId="0" shapeId="0">
      <text>
        <t>Estimated: 2023A Trailer Rentals based on 2025 proportion (0.43%). Source: 13 Year Summary Financials.xlsx</t>
      </text>
    </comment>
    <comment ref="E11" authorId="0" shapeId="0">
      <text>
        <t>Estimated: 2024A Trailer Rentals based on 2025 proportion (0.43%). Source: 13 Year Summary Financials.xlsx</t>
      </text>
    </comment>
    <comment ref="F11" authorId="0" shapeId="0">
      <text>
        <t>Source: Meiborg_YTD_IS_2025_12.pdf, Revenue Detail section
Extracted: 2026-05-14</t>
      </text>
    </comment>
    <comment ref="G11" authorId="0" shapeId="0">
      <text>
        <t>Projection: Based on 5% annual growth from 2025A</t>
      </text>
    </comment>
    <comment ref="H11" authorId="0" shapeId="0">
      <text>
        <t>Projection: Based on 5% annual growth from 2025A</t>
      </text>
    </comment>
    <comment ref="I11" authorId="0" shapeId="0">
      <text>
        <t>Projection: Based on 5% annual growth from 2025A</t>
      </text>
    </comment>
    <comment ref="C12" authorId="0" shapeId="0">
      <text>
        <t>Estimated: 2022A Building Rent based on 2025 proportion (0.25%). Source: 13 Year Summary Financials.xlsx</t>
      </text>
    </comment>
    <comment ref="D12" authorId="0" shapeId="0">
      <text>
        <t>Estimated: 2023A Building Rent based on 2025 proportion (0.25%). Source: 13 Year Summary Financials.xlsx</t>
      </text>
    </comment>
    <comment ref="E12" authorId="0" shapeId="0">
      <text>
        <t>Estimated: 2024A Building Rent based on 2025 proportion (0.25%). Source: 13 Year Summary Financials.xlsx</t>
      </text>
    </comment>
    <comment ref="F12" authorId="0" shapeId="0">
      <text>
        <t>Source: Meiborg_YTD_IS_2025_12.pdf, Revenue Detail section
Extracted: 2026-05-14</t>
      </text>
    </comment>
    <comment ref="G12" authorId="0" shapeId="0">
      <text>
        <t>Projection: Based on 5% annual growth from 2025A</t>
      </text>
    </comment>
    <comment ref="H12" authorId="0" shapeId="0">
      <text>
        <t>Projection: Based on 5% annual growth from 2025A</t>
      </text>
    </comment>
    <comment ref="I12" authorId="0" shapeId="0">
      <text>
        <t>Projection: Based on 5% annual growth from 2025A</t>
      </text>
    </comment>
    <comment ref="C13" authorId="0" shapeId="0">
      <text>
        <t>Estimated: 2022A Fuel Program based on 2025 proportion (2.58%). Source: 13 Year Summary Financials.xlsx</t>
      </text>
    </comment>
    <comment ref="D13" authorId="0" shapeId="0">
      <text>
        <t>Estimated: 2023A Fuel Program based on 2025 proportion (2.58%). Source: 13 Year Summary Financials.xlsx</t>
      </text>
    </comment>
    <comment ref="E13" authorId="0" shapeId="0">
      <text>
        <t>Estimated: 2024A Fuel Program based on 2025 proportion (2.58%). Source: 13 Year Summary Financials.xlsx</t>
      </text>
    </comment>
    <comment ref="F13" authorId="0" shapeId="0">
      <text>
        <t>Source: Meiborg_YTD_IS_2025_12.pdf, Revenue Detail section
Extracted: 2026-05-14</t>
      </text>
    </comment>
    <comment ref="G13" authorId="0" shapeId="0">
      <text>
        <t>Projection: Based on 5% annual growth from 2025A</t>
      </text>
    </comment>
    <comment ref="H13" authorId="0" shapeId="0">
      <text>
        <t>Projection: Based on 5% annual growth from 2025A</t>
      </text>
    </comment>
    <comment ref="I13" authorId="0" shapeId="0">
      <text>
        <t>Projection: Based on 5% annual growth from 2025A</t>
      </text>
    </comment>
    <comment ref="C14" authorId="0" shapeId="0">
      <text>
        <t>Estimated: 2022A Warehousing based on 2025 proportion (24.50%). Source: 13 Year Summary Financials.xlsx</t>
      </text>
    </comment>
    <comment ref="D14" authorId="0" shapeId="0">
      <text>
        <t>Estimated: 2023A Warehousing based on 2025 proportion (24.50%). Source: 13 Year Summary Financials.xlsx</t>
      </text>
    </comment>
    <comment ref="E14" authorId="0" shapeId="0">
      <text>
        <t>Estimated: 2024A Warehousing based on 2025 proportion (24.50%). Source: 13 Year Summary Financials.xlsx</t>
      </text>
    </comment>
    <comment ref="F14" authorId="0" shapeId="0">
      <text>
        <t>Source: Meiborg_YTD_IS_2025_12.pdf, Revenue Detail section
Extracted: 2026-05-14</t>
      </text>
    </comment>
    <comment ref="G14" authorId="0" shapeId="0">
      <text>
        <t>Projection: Based on 5% annual growth from 2025A</t>
      </text>
    </comment>
    <comment ref="H14" authorId="0" shapeId="0">
      <text>
        <t>Projection: Based on 5% annual growth from 2025A</t>
      </text>
    </comment>
    <comment ref="I14" authorId="0" shapeId="0">
      <text>
        <t>Projection: Based on 5% annual growth from 2025A</t>
      </text>
    </comment>
    <comment ref="J14" authorId="0" shapeId="0">
      <text>
        <t>Analyst note: Flag for QoE review</t>
      </text>
    </comment>
    <comment ref="C15" authorId="0" shapeId="0">
      <text>
        <t>Estimated: 2022A Finance Fees based on 2025 proportion (0.11%). Source: 13 Year Summary Financials.xlsx</t>
      </text>
    </comment>
    <comment ref="D15" authorId="0" shapeId="0">
      <text>
        <t>Estimated: 2023A Finance Fees based on 2025 proportion (0.11%). Source: 13 Year Summary Financials.xlsx</t>
      </text>
    </comment>
    <comment ref="E15" authorId="0" shapeId="0">
      <text>
        <t>Estimated: 2024A Finance Fees based on 2025 proportion (0.11%). Source: 13 Year Summary Financials.xlsx</t>
      </text>
    </comment>
    <comment ref="F15" authorId="0" shapeId="0">
      <text>
        <t>Source: Meiborg_YTD_IS_2025_12.pdf, Revenue Detail section
Extracted: 2026-05-14</t>
      </text>
    </comment>
    <comment ref="G15" authorId="0" shapeId="0">
      <text>
        <t>Projection: Based on 5% annual growth from 2025A</t>
      </text>
    </comment>
    <comment ref="H15" authorId="0" shapeId="0">
      <text>
        <t>Projection: Based on 5% annual growth from 2025A</t>
      </text>
    </comment>
    <comment ref="I15" authorId="0" shapeId="0">
      <text>
        <t>Projection: Based on 5% annual growth from 2025A</t>
      </text>
    </comment>
    <comment ref="C16" authorId="0" shapeId="0">
      <text>
        <t>Estimated: 2022A Late Delivery Fees based on 2025 proportion (-0.03%). Source: 13 Year Summary Financials.xlsx</t>
      </text>
    </comment>
    <comment ref="D16" authorId="0" shapeId="0">
      <text>
        <t>Estimated: 2023A Late Delivery Fees based on 2025 proportion (-0.03%). Source: 13 Year Summary Financials.xlsx</t>
      </text>
    </comment>
    <comment ref="E16" authorId="0" shapeId="0">
      <text>
        <t>Estimated: 2024A Late Delivery Fees based on 2025 proportion (-0.03%). Source: 13 Year Summary Financials.xlsx</t>
      </text>
    </comment>
    <comment ref="F16" authorId="0" shapeId="0">
      <text>
        <t>Source: Meiborg_YTD_IS_2025_12.pdf, Revenue Detail section
Extracted: 2026-05-14</t>
      </text>
    </comment>
    <comment ref="G16" authorId="0" shapeId="0">
      <text>
        <t>Projection: Based on 5% annual growth from 2025A</t>
      </text>
    </comment>
    <comment ref="H16" authorId="0" shapeId="0">
      <text>
        <t>Projection: Based on 5% annual growth from 2025A</t>
      </text>
    </comment>
    <comment ref="I16" authorId="0" shapeId="0">
      <text>
        <t>Projection: Based on 5% annual growth from 2025A</t>
      </text>
    </comment>
    <comment ref="J16" authorId="0" shapeId="0">
      <text>
        <t>Analyst note: Flag for QoE review</t>
      </text>
    </comment>
    <comment ref="C17" authorId="0" shapeId="0">
      <text>
        <t>Sum of rows 6-16: Revenue detail items</t>
      </text>
    </comment>
    <comment ref="D17" authorId="0" shapeId="0">
      <text>
        <t>Sum of rows 6-16: Revenue detail items</t>
      </text>
    </comment>
    <comment ref="E17" authorId="0" shapeId="0">
      <text>
        <t>Sum of rows 6-16: Revenue detail items</t>
      </text>
    </comment>
    <comment ref="F17" authorId="0" shapeId="0">
      <text>
        <t>Sum of rows 6-16: Revenue detail items</t>
      </text>
    </comment>
    <comment ref="G17" authorId="0" shapeId="0">
      <text>
        <t>Sum of rows 6-16: Revenue detail items</t>
      </text>
    </comment>
    <comment ref="H17" authorId="0" shapeId="0">
      <text>
        <t>Sum of rows 6-16: Revenue detail items</t>
      </text>
    </comment>
    <comment ref="I17" authorId="0" shapeId="0">
      <text>
        <t>Sum of rows 6-16: Revenue detail items</t>
      </text>
    </comment>
    <comment ref="A19" authorId="0" shapeId="0">
      <text>
        <t>COGS detail section - granular breakdown by cost category</t>
      </text>
    </comment>
    <comment ref="C20" authorId="0" shapeId="0">
      <text>
        <t>Estimated: 2022A Labor (negative for COGS). Source: 13 Year Summary Financials.xlsx</t>
      </text>
    </comment>
    <comment ref="D20" authorId="0" shapeId="0">
      <text>
        <t>Estimated: 2023A Labor (negative for COGS). Source: 13 Year Summary Financials.xlsx</t>
      </text>
    </comment>
    <comment ref="E20" authorId="0" shapeId="0">
      <text>
        <t>Estimated: 2024A Labor (negative for COGS). Source: 13 Year Summary Financials.xlsx</t>
      </text>
    </comment>
    <comment ref="F20" authorId="0" shapeId="0">
      <text>
        <t>Source: Meiborg_YTD_IS_2025_12.pdf, COGS Detail section
Extracted: 2026-05-14</t>
      </text>
    </comment>
    <comment ref="G20" authorId="0" shapeId="0">
      <text>
        <t>Projection: Based on 5% annual growth from 2025A</t>
      </text>
    </comment>
    <comment ref="H20" authorId="0" shapeId="0">
      <text>
        <t>Projection: Based on 5% annual growth from 2025A</t>
      </text>
    </comment>
    <comment ref="I20" authorId="0" shapeId="0">
      <text>
        <t>Projection: Based on 5% annual growth from 2025A</t>
      </text>
    </comment>
    <comment ref="J20" authorId="0" shapeId="0">
      <text>
        <t>Analyst note: Flag for QoE review</t>
      </text>
    </comment>
    <comment ref="C21" authorId="0" shapeId="0">
      <text>
        <t>Estimated: 2022A Payroll Taxes (negative for COGS). Source: 13 Year Summary Financials.xlsx</t>
      </text>
    </comment>
    <comment ref="D21" authorId="0" shapeId="0">
      <text>
        <t>Estimated: 2023A Payroll Taxes (negative for COGS). Source: 13 Year Summary Financials.xlsx</t>
      </text>
    </comment>
    <comment ref="E21" authorId="0" shapeId="0">
      <text>
        <t>Estimated: 2024A Payroll Taxes (negative for COGS). Source: 13 Year Summary Financials.xlsx</t>
      </text>
    </comment>
    <comment ref="F21" authorId="0" shapeId="0">
      <text>
        <t>Source: Meiborg_YTD_IS_2025_12.pdf, COGS Detail section
Extracted: 2026-05-14</t>
      </text>
    </comment>
    <comment ref="G21" authorId="0" shapeId="0">
      <text>
        <t>Projection: Based on 5% annual growth from 2025A</t>
      </text>
    </comment>
    <comment ref="H21" authorId="0" shapeId="0">
      <text>
        <t>Projection: Based on 5% annual growth from 2025A</t>
      </text>
    </comment>
    <comment ref="I21" authorId="0" shapeId="0">
      <text>
        <t>Projection: Based on 5% annual growth from 2025A</t>
      </text>
    </comment>
    <comment ref="C22" authorId="0" shapeId="0">
      <text>
        <t>Estimated: 2022A Fuel (negative for COGS). Source: 13 Year Summary Financials.xlsx</t>
      </text>
    </comment>
    <comment ref="D22" authorId="0" shapeId="0">
      <text>
        <t>Estimated: 2023A Fuel (negative for COGS). Source: 13 Year Summary Financials.xlsx</t>
      </text>
    </comment>
    <comment ref="E22" authorId="0" shapeId="0">
      <text>
        <t>Estimated: 2024A Fuel (negative for COGS). Source: 13 Year Summary Financials.xlsx</t>
      </text>
    </comment>
    <comment ref="F22" authorId="0" shapeId="0">
      <text>
        <t>Source: Meiborg_YTD_IS_2025_12.pdf, COGS Detail section
Extracted: 2026-05-14</t>
      </text>
    </comment>
    <comment ref="G22" authorId="0" shapeId="0">
      <text>
        <t>Projection: Based on 5% annual growth from 2025A</t>
      </text>
    </comment>
    <comment ref="H22" authorId="0" shapeId="0">
      <text>
        <t>Projection: Based on 5% annual growth from 2025A</t>
      </text>
    </comment>
    <comment ref="I22" authorId="0" shapeId="0">
      <text>
        <t>Projection: Based on 5% annual growth from 2025A</t>
      </text>
    </comment>
    <comment ref="C23" authorId="0" shapeId="0">
      <text>
        <t>Estimated: 2022A Tolls (negative for COGS). Source: 13 Year Summary Financials.xlsx</t>
      </text>
    </comment>
    <comment ref="D23" authorId="0" shapeId="0">
      <text>
        <t>Estimated: 2023A Tolls (negative for COGS). Source: 13 Year Summary Financials.xlsx</t>
      </text>
    </comment>
    <comment ref="E23" authorId="0" shapeId="0">
      <text>
        <t>Estimated: 2024A Tolls (negative for COGS). Source: 13 Year Summary Financials.xlsx</t>
      </text>
    </comment>
    <comment ref="F23" authorId="0" shapeId="0">
      <text>
        <t>Source: Meiborg_YTD_IS_2025_12.pdf, COGS Detail section
Extracted: 2026-05-14</t>
      </text>
    </comment>
    <comment ref="G23" authorId="0" shapeId="0">
      <text>
        <t>Projection: Based on 5% annual growth from 2025A</t>
      </text>
    </comment>
    <comment ref="H23" authorId="0" shapeId="0">
      <text>
        <t>Projection: Based on 5% annual growth from 2025A</t>
      </text>
    </comment>
    <comment ref="I23" authorId="0" shapeId="0">
      <text>
        <t>Projection: Based on 5% annual growth from 2025A</t>
      </text>
    </comment>
    <comment ref="C24" authorId="0" shapeId="0">
      <text>
        <t>Estimated: 2022A Maintenance/Repairs-Tractor (negative for COGS). Source: 13 Year Summary Financials.xlsx</t>
      </text>
    </comment>
    <comment ref="D24" authorId="0" shapeId="0">
      <text>
        <t>Estimated: 2023A Maintenance/Repairs-Tractor (negative for COGS). Source: 13 Year Summary Financials.xlsx</t>
      </text>
    </comment>
    <comment ref="E24" authorId="0" shapeId="0">
      <text>
        <t>Estimated: 2024A Maintenance/Repairs-Tractor (negative for COGS). Source: 13 Year Summary Financials.xlsx</t>
      </text>
    </comment>
    <comment ref="F24" authorId="0" shapeId="0">
      <text>
        <t>Source: Meiborg_YTD_IS_2025_12.pdf, COGS Detail section
Extracted: 2026-05-14</t>
      </text>
    </comment>
    <comment ref="G24" authorId="0" shapeId="0">
      <text>
        <t>Projection: Based on 5% annual growth from 2025A</t>
      </text>
    </comment>
    <comment ref="H24" authorId="0" shapeId="0">
      <text>
        <t>Projection: Based on 5% annual growth from 2025A</t>
      </text>
    </comment>
    <comment ref="I24" authorId="0" shapeId="0">
      <text>
        <t>Projection: Based on 5% annual growth from 2025A</t>
      </text>
    </comment>
    <comment ref="C25" authorId="0" shapeId="0">
      <text>
        <t>Estimated: 2022A Maintenance/Repairs-Trailer (negative for COGS). Source: 13 Year Summary Financials.xlsx</t>
      </text>
    </comment>
    <comment ref="D25" authorId="0" shapeId="0">
      <text>
        <t>Estimated: 2023A Maintenance/Repairs-Trailer (negative for COGS). Source: 13 Year Summary Financials.xlsx</t>
      </text>
    </comment>
    <comment ref="E25" authorId="0" shapeId="0">
      <text>
        <t>Estimated: 2024A Maintenance/Repairs-Trailer (negative for COGS). Source: 13 Year Summary Financials.xlsx</t>
      </text>
    </comment>
    <comment ref="F25" authorId="0" shapeId="0">
      <text>
        <t>Source: Meiborg_YTD_IS_2025_12.pdf, COGS Detail section
Extracted: 2026-05-14</t>
      </text>
    </comment>
    <comment ref="G25" authorId="0" shapeId="0">
      <text>
        <t>Projection: Based on 5% annual growth from 2025A</t>
      </text>
    </comment>
    <comment ref="H25" authorId="0" shapeId="0">
      <text>
        <t>Projection: Based on 5% annual growth from 2025A</t>
      </text>
    </comment>
    <comment ref="I25" authorId="0" shapeId="0">
      <text>
        <t>Projection: Based on 5% annual growth from 2025A</t>
      </text>
    </comment>
    <comment ref="C26" authorId="0" shapeId="0">
      <text>
        <t>Estimated: 2022A Parts/Supplies (negative for COGS). Source: 13 Year Summary Financials.xlsx</t>
      </text>
    </comment>
    <comment ref="D26" authorId="0" shapeId="0">
      <text>
        <t>Estimated: 2023A Parts/Supplies (negative for COGS). Source: 13 Year Summary Financials.xlsx</t>
      </text>
    </comment>
    <comment ref="E26" authorId="0" shapeId="0">
      <text>
        <t>Estimated: 2024A Parts/Supplies (negative for COGS). Source: 13 Year Summary Financials.xlsx</t>
      </text>
    </comment>
    <comment ref="F26" authorId="0" shapeId="0">
      <text>
        <t>Source: Meiborg_YTD_IS_2025_12.pdf, COGS Detail section
Extracted: 2026-05-14</t>
      </text>
    </comment>
    <comment ref="G26" authorId="0" shapeId="0">
      <text>
        <t>Projection: Based on 5% annual growth from 2025A</t>
      </text>
    </comment>
    <comment ref="H26" authorId="0" shapeId="0">
      <text>
        <t>Projection: Based on 5% annual growth from 2025A</t>
      </text>
    </comment>
    <comment ref="I26" authorId="0" shapeId="0">
      <text>
        <t>Projection: Based on 5% annual growth from 2025A</t>
      </text>
    </comment>
    <comment ref="C27" authorId="0" shapeId="0">
      <text>
        <t>Estimated: 2022A Insurance (negative for COGS). Source: 13 Year Summary Financials.xlsx</t>
      </text>
    </comment>
    <comment ref="D27" authorId="0" shapeId="0">
      <text>
        <t>Estimated: 2023A Insurance (negative for COGS). Source: 13 Year Summary Financials.xlsx</t>
      </text>
    </comment>
    <comment ref="E27" authorId="0" shapeId="0">
      <text>
        <t>Estimated: 2024A Insurance (negative for COGS). Source: 13 Year Summary Financials.xlsx</t>
      </text>
    </comment>
    <comment ref="F27" authorId="0" shapeId="0">
      <text>
        <t>Source: Meiborg_YTD_IS_2025_12.pdf, COGS Detail section
Extracted: 2026-05-14</t>
      </text>
    </comment>
    <comment ref="G27" authorId="0" shapeId="0">
      <text>
        <t>Projection: Based on 5% annual growth from 2025A</t>
      </text>
    </comment>
    <comment ref="H27" authorId="0" shapeId="0">
      <text>
        <t>Projection: Based on 5% annual growth from 2025A</t>
      </text>
    </comment>
    <comment ref="I27" authorId="0" shapeId="0">
      <text>
        <t>Projection: Based on 5% annual growth from 2025A</t>
      </text>
    </comment>
    <comment ref="C28" authorId="0" shapeId="0">
      <text>
        <t>Estimated: 2022A Brokered Carrier Pay (negative for COGS). Source: 13 Year Summary Financials.xlsx</t>
      </text>
    </comment>
    <comment ref="D28" authorId="0" shapeId="0">
      <text>
        <t>Estimated: 2023A Brokered Carrier Pay (negative for COGS). Source: 13 Year Summary Financials.xlsx</t>
      </text>
    </comment>
    <comment ref="E28" authorId="0" shapeId="0">
      <text>
        <t>Estimated: 2024A Brokered Carrier Pay (negative for COGS). Source: 13 Year Summary Financials.xlsx</t>
      </text>
    </comment>
    <comment ref="F28" authorId="0" shapeId="0">
      <text>
        <t>Source: Meiborg_YTD_IS_2025_12.pdf, COGS Detail section
Extracted: 2026-05-14</t>
      </text>
    </comment>
    <comment ref="G28" authorId="0" shapeId="0">
      <text>
        <t>Projection: Based on 5% annual growth from 2025A</t>
      </text>
    </comment>
    <comment ref="H28" authorId="0" shapeId="0">
      <text>
        <t>Projection: Based on 5% annual growth from 2025A</t>
      </text>
    </comment>
    <comment ref="I28" authorId="0" shapeId="0">
      <text>
        <t>Projection: Based on 5% annual growth from 2025A</t>
      </text>
    </comment>
    <comment ref="J28" authorId="0" shapeId="0">
      <text>
        <t>Analyst note: Flag for QoE review</t>
      </text>
    </comment>
    <comment ref="C29" authorId="0" shapeId="0">
      <text>
        <t>Estimated: 2022A Agent Pay (negative for COGS). Source: 13 Year Summary Financials.xlsx</t>
      </text>
    </comment>
    <comment ref="D29" authorId="0" shapeId="0">
      <text>
        <t>Estimated: 2023A Agent Pay (negative for COGS). Source: 13 Year Summary Financials.xlsx</t>
      </text>
    </comment>
    <comment ref="E29" authorId="0" shapeId="0">
      <text>
        <t>Estimated: 2024A Agent Pay (negative for COGS). Source: 13 Year Summary Financials.xlsx</t>
      </text>
    </comment>
    <comment ref="F29" authorId="0" shapeId="0">
      <text>
        <t>Source: Meiborg_YTD_IS_2025_12.pdf, COGS Detail section
Extracted: 2026-05-14</t>
      </text>
    </comment>
    <comment ref="G29" authorId="0" shapeId="0">
      <text>
        <t>Projection: Based on 5% annual growth from 2025A</t>
      </text>
    </comment>
    <comment ref="H29" authorId="0" shapeId="0">
      <text>
        <t>Projection: Based on 5% annual growth from 2025A</t>
      </text>
    </comment>
    <comment ref="I29" authorId="0" shapeId="0">
      <text>
        <t>Projection: Based on 5% annual growth from 2025A</t>
      </text>
    </comment>
    <comment ref="C30" authorId="0" shapeId="0">
      <text>
        <t>Estimated: 2022A Owner Operators (negative for COGS). Source: 13 Year Summary Financials.xlsx</t>
      </text>
    </comment>
    <comment ref="D30" authorId="0" shapeId="0">
      <text>
        <t>Estimated: 2023A Owner Operators (negative for COGS). Source: 13 Year Summary Financials.xlsx</t>
      </text>
    </comment>
    <comment ref="E30" authorId="0" shapeId="0">
      <text>
        <t>Estimated: 2024A Owner Operators (negative for COGS). Source: 13 Year Summary Financials.xlsx</t>
      </text>
    </comment>
    <comment ref="F30" authorId="0" shapeId="0">
      <text>
        <t>Source: Meiborg_YTD_IS_2025_12.pdf, COGS Detail section
Extracted: 2026-05-14</t>
      </text>
    </comment>
    <comment ref="G30" authorId="0" shapeId="0">
      <text>
        <t>Projection: Based on 5% annual growth from 2025A</t>
      </text>
    </comment>
    <comment ref="H30" authorId="0" shapeId="0">
      <text>
        <t>Projection: Based on 5% annual growth from 2025A</t>
      </text>
    </comment>
    <comment ref="I30" authorId="0" shapeId="0">
      <text>
        <t>Projection: Based on 5% annual growth from 2025A</t>
      </text>
    </comment>
    <comment ref="J30" authorId="0" shapeId="0">
      <text>
        <t>Analyst note: Flag for QoE review</t>
      </text>
    </comment>
    <comment ref="C31" authorId="0" shapeId="0">
      <text>
        <t>Estimated: 2022A Outside Services (negative for COGS). Source: 13 Year Summary Financials.xlsx</t>
      </text>
    </comment>
    <comment ref="D31" authorId="0" shapeId="0">
      <text>
        <t>Estimated: 2023A Outside Services (negative for COGS). Source: 13 Year Summary Financials.xlsx</t>
      </text>
    </comment>
    <comment ref="E31" authorId="0" shapeId="0">
      <text>
        <t>Estimated: 2024A Outside Services (negative for COGS). Source: 13 Year Summary Financials.xlsx</t>
      </text>
    </comment>
    <comment ref="F31" authorId="0" shapeId="0">
      <text>
        <t>Source: Meiborg_YTD_IS_2025_12.pdf, COGS Detail section
Extracted: 2026-05-14</t>
      </text>
    </comment>
    <comment ref="G31" authorId="0" shapeId="0">
      <text>
        <t>Projection: Based on 5% annual growth from 2025A</t>
      </text>
    </comment>
    <comment ref="H31" authorId="0" shapeId="0">
      <text>
        <t>Projection: Based on 5% annual growth from 2025A</t>
      </text>
    </comment>
    <comment ref="I31" authorId="0" shapeId="0">
      <text>
        <t>Projection: Based on 5% annual growth from 2025A</t>
      </text>
    </comment>
    <comment ref="C32" authorId="0" shapeId="0">
      <text>
        <t>Estimated: 2022A Lease Payments-Tractors-Internal (negative for COGS). Source: 13 Year Summary Financials.xlsx</t>
      </text>
    </comment>
    <comment ref="D32" authorId="0" shapeId="0">
      <text>
        <t>Estimated: 2023A Lease Payments-Tractors-Internal (negative for COGS). Source: 13 Year Summary Financials.xlsx</t>
      </text>
    </comment>
    <comment ref="E32" authorId="0" shapeId="0">
      <text>
        <t>Estimated: 2024A Lease Payments-Tractors-Internal (negative for COGS). Source: 13 Year Summary Financials.xlsx</t>
      </text>
    </comment>
    <comment ref="F32" authorId="0" shapeId="0">
      <text>
        <t>Source: Meiborg_YTD_IS_2025_12.pdf, COGS Detail section
Extracted: 2026-05-14</t>
      </text>
    </comment>
    <comment ref="G32" authorId="0" shapeId="0">
      <text>
        <t>Projection: Based on 5% annual growth from 2025A</t>
      </text>
    </comment>
    <comment ref="H32" authorId="0" shapeId="0">
      <text>
        <t>Projection: Based on 5% annual growth from 2025A</t>
      </text>
    </comment>
    <comment ref="I32" authorId="0" shapeId="0">
      <text>
        <t>Projection: Based on 5% annual growth from 2025A</t>
      </text>
    </comment>
    <comment ref="C33" authorId="0" shapeId="0">
      <text>
        <t>Estimated: 2022A Lease Payments-Trailers-Internal (negative for COGS). Source: 13 Year Summary Financials.xlsx</t>
      </text>
    </comment>
    <comment ref="D33" authorId="0" shapeId="0">
      <text>
        <t>Estimated: 2023A Lease Payments-Trailers-Internal (negative for COGS). Source: 13 Year Summary Financials.xlsx</t>
      </text>
    </comment>
    <comment ref="E33" authorId="0" shapeId="0">
      <text>
        <t>Estimated: 2024A Lease Payments-Trailers-Internal (negative for COGS). Source: 13 Year Summary Financials.xlsx</t>
      </text>
    </comment>
    <comment ref="F33" authorId="0" shapeId="0">
      <text>
        <t>Source: Meiborg_YTD_IS_2025_12.pdf, COGS Detail section
Extracted: 2026-05-14</t>
      </text>
    </comment>
    <comment ref="G33" authorId="0" shapeId="0">
      <text>
        <t>Projection: Based on 5% annual growth from 2025A</t>
      </text>
    </comment>
    <comment ref="H33" authorId="0" shapeId="0">
      <text>
        <t>Projection: Based on 5% annual growth from 2025A</t>
      </text>
    </comment>
    <comment ref="I33" authorId="0" shapeId="0">
      <text>
        <t>Projection: Based on 5% annual growth from 2025A</t>
      </text>
    </comment>
    <comment ref="C34" authorId="0" shapeId="0">
      <text>
        <t>Estimated: 2022A Leased Payments-Tractors-External (negative for COGS). Source: 13 Year Summary Financials.xlsx</t>
      </text>
    </comment>
    <comment ref="D34" authorId="0" shapeId="0">
      <text>
        <t>Estimated: 2023A Leased Payments-Tractors-External (negative for COGS). Source: 13 Year Summary Financials.xlsx</t>
      </text>
    </comment>
    <comment ref="E34" authorId="0" shapeId="0">
      <text>
        <t>Estimated: 2024A Leased Payments-Tractors-External (negative for COGS). Source: 13 Year Summary Financials.xlsx</t>
      </text>
    </comment>
    <comment ref="F34" authorId="0" shapeId="0">
      <text>
        <t>Source: Meiborg_YTD_IS_2025_12.pdf, COGS Detail section
Extracted: 2026-05-14</t>
      </text>
    </comment>
    <comment ref="G34" authorId="0" shapeId="0">
      <text>
        <t>Projection: Based on 5% annual growth from 2025A</t>
      </text>
    </comment>
    <comment ref="H34" authorId="0" shapeId="0">
      <text>
        <t>Projection: Based on 5% annual growth from 2025A</t>
      </text>
    </comment>
    <comment ref="I34" authorId="0" shapeId="0">
      <text>
        <t>Projection: Based on 5% annual growth from 2025A</t>
      </text>
    </comment>
    <comment ref="C35" authorId="0" shapeId="0">
      <text>
        <t>Estimated: 2022A Rental Tractors (negative for COGS). Source: 13 Year Summary Financials.xlsx</t>
      </text>
    </comment>
    <comment ref="D35" authorId="0" shapeId="0">
      <text>
        <t>Estimated: 2023A Rental Tractors (negative for COGS). Source: 13 Year Summary Financials.xlsx</t>
      </text>
    </comment>
    <comment ref="E35" authorId="0" shapeId="0">
      <text>
        <t>Estimated: 2024A Rental Tractors (negative for COGS). Source: 13 Year Summary Financials.xlsx</t>
      </text>
    </comment>
    <comment ref="F35" authorId="0" shapeId="0">
      <text>
        <t>Source: Meiborg_YTD_IS_2025_12.pdf, COGS Detail section
Extracted: 2026-05-14</t>
      </text>
    </comment>
    <comment ref="G35" authorId="0" shapeId="0">
      <text>
        <t>Projection: Based on 5% annual growth from 2025A</t>
      </text>
    </comment>
    <comment ref="H35" authorId="0" shapeId="0">
      <text>
        <t>Projection: Based on 5% annual growth from 2025A</t>
      </text>
    </comment>
    <comment ref="I35" authorId="0" shapeId="0">
      <text>
        <t>Projection: Based on 5% annual growth from 2025A</t>
      </text>
    </comment>
    <comment ref="C36" authorId="0" shapeId="0">
      <text>
        <t>Estimated: 2022A Rental Trailers (negative for COGS). Source: 13 Year Summary Financials.xlsx</t>
      </text>
    </comment>
    <comment ref="D36" authorId="0" shapeId="0">
      <text>
        <t>Estimated: 2023A Rental Trailers (negative for COGS). Source: 13 Year Summary Financials.xlsx</t>
      </text>
    </comment>
    <comment ref="E36" authorId="0" shapeId="0">
      <text>
        <t>Estimated: 2024A Rental Trailers (negative for COGS). Source: 13 Year Summary Financials.xlsx</t>
      </text>
    </comment>
    <comment ref="F36" authorId="0" shapeId="0">
      <text>
        <t>Source: Meiborg_YTD_IS_2025_12.pdf, COGS Detail section
Extracted: 2026-05-14</t>
      </text>
    </comment>
    <comment ref="G36" authorId="0" shapeId="0">
      <text>
        <t>Projection: Based on 5% annual growth from 2025A</t>
      </text>
    </comment>
    <comment ref="H36" authorId="0" shapeId="0">
      <text>
        <t>Projection: Based on 5% annual growth from 2025A</t>
      </text>
    </comment>
    <comment ref="I36" authorId="0" shapeId="0">
      <text>
        <t>Projection: Based on 5% annual growth from 2025A</t>
      </text>
    </comment>
    <comment ref="C37" authorId="0" shapeId="0">
      <text>
        <t>Estimated: 2022A GPS Tracking/ELD (negative for COGS). Source: 13 Year Summary Financials.xlsx</t>
      </text>
    </comment>
    <comment ref="D37" authorId="0" shapeId="0">
      <text>
        <t>Estimated: 2023A GPS Tracking/ELD (negative for COGS). Source: 13 Year Summary Financials.xlsx</t>
      </text>
    </comment>
    <comment ref="E37" authorId="0" shapeId="0">
      <text>
        <t>Estimated: 2024A GPS Tracking/ELD (negative for COGS). Source: 13 Year Summary Financials.xlsx</t>
      </text>
    </comment>
    <comment ref="F37" authorId="0" shapeId="0">
      <text>
        <t>Source: Meiborg_YTD_IS_2025_12.pdf, COGS Detail section
Extracted: 2026-05-14</t>
      </text>
    </comment>
    <comment ref="G37" authorId="0" shapeId="0">
      <text>
        <t>Projection: Based on 5% annual growth from 2025A</t>
      </text>
    </comment>
    <comment ref="H37" authorId="0" shapeId="0">
      <text>
        <t>Projection: Based on 5% annual growth from 2025A</t>
      </text>
    </comment>
    <comment ref="I37" authorId="0" shapeId="0">
      <text>
        <t>Projection: Based on 5% annual growth from 2025A</t>
      </text>
    </comment>
    <comment ref="C38" authorId="0" shapeId="0">
      <text>
        <t>Estimated: 2022A Highway Fuel Tax (negative for COGS). Source: 13 Year Summary Financials.xlsx</t>
      </text>
    </comment>
    <comment ref="D38" authorId="0" shapeId="0">
      <text>
        <t>Estimated: 2023A Highway Fuel Tax (negative for COGS). Source: 13 Year Summary Financials.xlsx</t>
      </text>
    </comment>
    <comment ref="E38" authorId="0" shapeId="0">
      <text>
        <t>Estimated: 2024A Highway Fuel Tax (negative for COGS). Source: 13 Year Summary Financials.xlsx</t>
      </text>
    </comment>
    <comment ref="F38" authorId="0" shapeId="0">
      <text>
        <t>Source: Meiborg_YTD_IS_2025_12.pdf, COGS Detail section
Extracted: 2026-05-14</t>
      </text>
    </comment>
    <comment ref="G38" authorId="0" shapeId="0">
      <text>
        <t>Projection: Based on 5% annual growth from 2025A</t>
      </text>
    </comment>
    <comment ref="H38" authorId="0" shapeId="0">
      <text>
        <t>Projection: Based on 5% annual growth from 2025A</t>
      </text>
    </comment>
    <comment ref="I38" authorId="0" shapeId="0">
      <text>
        <t>Projection: Based on 5% annual growth from 2025A</t>
      </text>
    </comment>
    <comment ref="C39" authorId="0" shapeId="0">
      <text>
        <t>Estimated: 2022A Licenses/Permits (negative for COGS). Source: 13 Year Summary Financials.xlsx</t>
      </text>
    </comment>
    <comment ref="D39" authorId="0" shapeId="0">
      <text>
        <t>Estimated: 2023A Licenses/Permits (negative for COGS). Source: 13 Year Summary Financials.xlsx</t>
      </text>
    </comment>
    <comment ref="E39" authorId="0" shapeId="0">
      <text>
        <t>Estimated: 2024A Licenses/Permits (negative for COGS). Source: 13 Year Summary Financials.xlsx</t>
      </text>
    </comment>
    <comment ref="F39" authorId="0" shapeId="0">
      <text>
        <t>Source: Meiborg_YTD_IS_2025_12.pdf, COGS Detail section
Extracted: 2026-05-14</t>
      </text>
    </comment>
    <comment ref="G39" authorId="0" shapeId="0">
      <text>
        <t>Projection: Based on 5% annual growth from 2025A</t>
      </text>
    </comment>
    <comment ref="H39" authorId="0" shapeId="0">
      <text>
        <t>Projection: Based on 5% annual growth from 2025A</t>
      </text>
    </comment>
    <comment ref="I39" authorId="0" shapeId="0">
      <text>
        <t>Projection: Based on 5% annual growth from 2025A</t>
      </text>
    </comment>
    <comment ref="C40" authorId="0" shapeId="0">
      <text>
        <t>Estimated: 2022A Lumpers (negative for COGS). Source: 13 Year Summary Financials.xlsx</t>
      </text>
    </comment>
    <comment ref="D40" authorId="0" shapeId="0">
      <text>
        <t>Estimated: 2023A Lumpers (negative for COGS). Source: 13 Year Summary Financials.xlsx</t>
      </text>
    </comment>
    <comment ref="E40" authorId="0" shapeId="0">
      <text>
        <t>Estimated: 2024A Lumpers (negative for COGS). Source: 13 Year Summary Financials.xlsx</t>
      </text>
    </comment>
    <comment ref="F40" authorId="0" shapeId="0">
      <text>
        <t>Source: Meiborg_YTD_IS_2025_12.pdf, COGS Detail section
Extracted: 2026-05-14</t>
      </text>
    </comment>
    <comment ref="G40" authorId="0" shapeId="0">
      <text>
        <t>Projection: Based on 5% annual growth from 2025A</t>
      </text>
    </comment>
    <comment ref="H40" authorId="0" shapeId="0">
      <text>
        <t>Projection: Based on 5% annual growth from 2025A</t>
      </text>
    </comment>
    <comment ref="I40" authorId="0" shapeId="0">
      <text>
        <t>Projection: Based on 5% annual growth from 2025A</t>
      </text>
    </comment>
    <comment ref="C41" authorId="0" shapeId="0">
      <text>
        <t>Estimated: 2022A Scales (negative for COGS). Source: 13 Year Summary Financials.xlsx</t>
      </text>
    </comment>
    <comment ref="D41" authorId="0" shapeId="0">
      <text>
        <t>Estimated: 2023A Scales (negative for COGS). Source: 13 Year Summary Financials.xlsx</t>
      </text>
    </comment>
    <comment ref="E41" authorId="0" shapeId="0">
      <text>
        <t>Estimated: 2024A Scales (negative for COGS). Source: 13 Year Summary Financials.xlsx</t>
      </text>
    </comment>
    <comment ref="F41" authorId="0" shapeId="0">
      <text>
        <t>Source: Meiborg_YTD_IS_2025_12.pdf, COGS Detail section
Extracted: 2026-05-14</t>
      </text>
    </comment>
    <comment ref="G41" authorId="0" shapeId="0">
      <text>
        <t>Projection: Based on 5% annual growth from 2025A</t>
      </text>
    </comment>
    <comment ref="H41" authorId="0" shapeId="0">
      <text>
        <t>Projection: Based on 5% annual growth from 2025A</t>
      </text>
    </comment>
    <comment ref="I41" authorId="0" shapeId="0">
      <text>
        <t>Projection: Based on 5% annual growth from 2025A</t>
      </text>
    </comment>
    <comment ref="C42" authorId="0" shapeId="0">
      <text>
        <t>Estimated: 2022A Freight Claims (negative for COGS). Source: 13 Year Summary Financials.xlsx</t>
      </text>
    </comment>
    <comment ref="D42" authorId="0" shapeId="0">
      <text>
        <t>Estimated: 2023A Freight Claims (negative for COGS). Source: 13 Year Summary Financials.xlsx</t>
      </text>
    </comment>
    <comment ref="E42" authorId="0" shapeId="0">
      <text>
        <t>Estimated: 2024A Freight Claims (negative for COGS). Source: 13 Year Summary Financials.xlsx</t>
      </text>
    </comment>
    <comment ref="F42" authorId="0" shapeId="0">
      <text>
        <t>Source: Meiborg_YTD_IS_2025_12.pdf, COGS Detail section
Extracted: 2026-05-14</t>
      </text>
    </comment>
    <comment ref="G42" authorId="0" shapeId="0">
      <text>
        <t>Projection: Based on 5% annual growth from 2025A</t>
      </text>
    </comment>
    <comment ref="H42" authorId="0" shapeId="0">
      <text>
        <t>Projection: Based on 5% annual growth from 2025A</t>
      </text>
    </comment>
    <comment ref="I42" authorId="0" shapeId="0">
      <text>
        <t>Projection: Based on 5% annual growth from 2025A</t>
      </text>
    </comment>
    <comment ref="C43" authorId="0" shapeId="0">
      <text>
        <t>Estimated: 2022A Accident Costs (negative for COGS). Source: 13 Year Summary Financials.xlsx</t>
      </text>
    </comment>
    <comment ref="D43" authorId="0" shapeId="0">
      <text>
        <t>Estimated: 2023A Accident Costs (negative for COGS). Source: 13 Year Summary Financials.xlsx</t>
      </text>
    </comment>
    <comment ref="E43" authorId="0" shapeId="0">
      <text>
        <t>Estimated: 2024A Accident Costs (negative for COGS). Source: 13 Year Summary Financials.xlsx</t>
      </text>
    </comment>
    <comment ref="F43" authorId="0" shapeId="0">
      <text>
        <t>Source: Meiborg_YTD_IS_2025_12.pdf, COGS Detail section
Extracted: 2026-05-14</t>
      </text>
    </comment>
    <comment ref="G43" authorId="0" shapeId="0">
      <text>
        <t>Projection: Based on 5% annual growth from 2025A</t>
      </text>
    </comment>
    <comment ref="H43" authorId="0" shapeId="0">
      <text>
        <t>Projection: Based on 5% annual growth from 2025A</t>
      </text>
    </comment>
    <comment ref="I43" authorId="0" shapeId="0">
      <text>
        <t>Projection: Based on 5% annual growth from 2025A</t>
      </text>
    </comment>
    <comment ref="C44" authorId="0" shapeId="0">
      <text>
        <t>Sum of rows 20-43: COGS detail items</t>
      </text>
    </comment>
    <comment ref="D44" authorId="0" shapeId="0">
      <text>
        <t>Sum of rows 20-43: COGS detail items</t>
      </text>
    </comment>
    <comment ref="E44" authorId="0" shapeId="0">
      <text>
        <t>Sum of rows 20-43: COGS detail items</t>
      </text>
    </comment>
    <comment ref="F44" authorId="0" shapeId="0">
      <text>
        <t>Sum of rows 20-43: COGS detail items</t>
      </text>
    </comment>
    <comment ref="G44" authorId="0" shapeId="0">
      <text>
        <t>Sum of rows 20-43: COGS detail items</t>
      </text>
    </comment>
    <comment ref="H44" authorId="0" shapeId="0">
      <text>
        <t>Sum of rows 20-43: COGS detail items</t>
      </text>
    </comment>
    <comment ref="I44" authorId="0" shapeId="0">
      <text>
        <t>Sum of rows 20-43: COGS detail items</t>
      </text>
    </comment>
    <comment ref="C45" authorId="0" shapeId="0">
      <text>
        <t>Gross Profit = Total Revenue + Total COGS (COGS is negative)</t>
      </text>
    </comment>
    <comment ref="D45" authorId="0" shapeId="0">
      <text>
        <t>Gross Profit = Total Revenue + Total COGS (COGS is negative)</t>
      </text>
    </comment>
    <comment ref="E45" authorId="0" shapeId="0">
      <text>
        <t>Gross Profit = Total Revenue + Total COGS (COGS is negative)</t>
      </text>
    </comment>
    <comment ref="F45" authorId="0" shapeId="0">
      <text>
        <t>Gross Profit = Total Revenue + Total COGS (COGS is negative)</t>
      </text>
    </comment>
    <comment ref="G45" authorId="0" shapeId="0">
      <text>
        <t>Gross Profit = Total Revenue + Total COGS (COGS is negative)</t>
      </text>
    </comment>
    <comment ref="H45" authorId="0" shapeId="0">
      <text>
        <t>Gross Profit = Total Revenue + Total COGS (COGS is negative)</t>
      </text>
    </comment>
    <comment ref="I45" authorId="0" shapeId="0">
      <text>
        <t>Gross Profit = Total Revenue + Total COGS (COGS is negative)</t>
      </text>
    </comment>
    <comment ref="A47" authorId="0" shapeId="0">
      <text>
        <t>Operating Expenses detail section - granular breakdown</t>
      </text>
    </comment>
    <comment ref="C48" authorId="0" shapeId="0">
      <text>
        <t>Estimated: 2022A Labor - Office (negative for OpEx). Source: 13 Year Summary Financials.xlsx</t>
      </text>
    </comment>
    <comment ref="D48" authorId="0" shapeId="0">
      <text>
        <t>Estimated: 2023A Labor - Office (negative for OpEx). Source: 13 Year Summary Financials.xlsx</t>
      </text>
    </comment>
    <comment ref="E48" authorId="0" shapeId="0">
      <text>
        <t>Estimated: 2024A Labor - Office (negative for OpEx). Source: 13 Year Summary Financials.xlsx</t>
      </text>
    </comment>
    <comment ref="F48" authorId="0" shapeId="0">
      <text>
        <t>Source: Meiborg_YTD_IS_2025_12.pdf, OpEx Detail section
Extracted: 2026-05-14</t>
      </text>
    </comment>
    <comment ref="G48" authorId="0" shapeId="0">
      <text>
        <t>Projection: Based on 5% annual growth from 2025A</t>
      </text>
    </comment>
    <comment ref="H48" authorId="0" shapeId="0">
      <text>
        <t>Projection: Based on 5% annual growth from 2025A</t>
      </text>
    </comment>
    <comment ref="I48" authorId="0" shapeId="0">
      <text>
        <t>Projection: Based on 5% annual growth from 2025A</t>
      </text>
    </comment>
    <comment ref="C49" authorId="0" shapeId="0">
      <text>
        <t>Estimated: 2022A PR Taxes - Office (negative for OpEx). Source: 13 Year Summary Financials.xlsx</t>
      </text>
    </comment>
    <comment ref="D49" authorId="0" shapeId="0">
      <text>
        <t>Estimated: 2023A PR Taxes - Office (negative for OpEx). Source: 13 Year Summary Financials.xlsx</t>
      </text>
    </comment>
    <comment ref="E49" authorId="0" shapeId="0">
      <text>
        <t>Estimated: 2024A PR Taxes - Office (negative for OpEx). Source: 13 Year Summary Financials.xlsx</t>
      </text>
    </comment>
    <comment ref="F49" authorId="0" shapeId="0">
      <text>
        <t>Source: Meiborg_YTD_IS_2025_12.pdf, OpEx Detail section
Extracted: 2026-05-14</t>
      </text>
    </comment>
    <comment ref="G49" authorId="0" shapeId="0">
      <text>
        <t>Projection: Based on 5% annual growth from 2025A</t>
      </text>
    </comment>
    <comment ref="H49" authorId="0" shapeId="0">
      <text>
        <t>Projection: Based on 5% annual growth from 2025A</t>
      </text>
    </comment>
    <comment ref="I49" authorId="0" shapeId="0">
      <text>
        <t>Projection: Based on 5% annual growth from 2025A</t>
      </text>
    </comment>
    <comment ref="C50" authorId="0" shapeId="0">
      <text>
        <t>Estimated: 2022A Rent (negative for OpEx). Source: 13 Year Summary Financials.xlsx</t>
      </text>
    </comment>
    <comment ref="D50" authorId="0" shapeId="0">
      <text>
        <t>Estimated: 2023A Rent (negative for OpEx). Source: 13 Year Summary Financials.xlsx</t>
      </text>
    </comment>
    <comment ref="E50" authorId="0" shapeId="0">
      <text>
        <t>Estimated: 2024A Rent (negative for OpEx). Source: 13 Year Summary Financials.xlsx</t>
      </text>
    </comment>
    <comment ref="F50" authorId="0" shapeId="0">
      <text>
        <t>Source: Meiborg_YTD_IS_2025_12.pdf, OpEx Detail section
Extracted: 2026-05-14</t>
      </text>
    </comment>
    <comment ref="G50" authorId="0" shapeId="0">
      <text>
        <t>Projection: Based on 5% annual growth from 2025A</t>
      </text>
    </comment>
    <comment ref="H50" authorId="0" shapeId="0">
      <text>
        <t>Projection: Based on 5% annual growth from 2025A</t>
      </text>
    </comment>
    <comment ref="I50" authorId="0" shapeId="0">
      <text>
        <t>Projection: Based on 5% annual growth from 2025A</t>
      </text>
    </comment>
    <comment ref="J50" authorId="0" shapeId="0">
      <text>
        <t>Analyst note: Flag for QoE review</t>
      </text>
    </comment>
    <comment ref="C51" authorId="0" shapeId="0">
      <text>
        <t>Estimated: 2022A Office Supplies (negative for OpEx). Source: 13 Year Summary Financials.xlsx</t>
      </text>
    </comment>
    <comment ref="D51" authorId="0" shapeId="0">
      <text>
        <t>Estimated: 2023A Office Supplies (negative for OpEx). Source: 13 Year Summary Financials.xlsx</t>
      </text>
    </comment>
    <comment ref="E51" authorId="0" shapeId="0">
      <text>
        <t>Estimated: 2024A Office Supplies (negative for OpEx). Source: 13 Year Summary Financials.xlsx</t>
      </text>
    </comment>
    <comment ref="F51" authorId="0" shapeId="0">
      <text>
        <t>Source: Meiborg_YTD_IS_2025_12.pdf, OpEx Detail section
Extracted: 2026-05-14</t>
      </text>
    </comment>
    <comment ref="G51" authorId="0" shapeId="0">
      <text>
        <t>Projection: Based on 5% annual growth from 2025A</t>
      </text>
    </comment>
    <comment ref="H51" authorId="0" shapeId="0">
      <text>
        <t>Projection: Based on 5% annual growth from 2025A</t>
      </text>
    </comment>
    <comment ref="I51" authorId="0" shapeId="0">
      <text>
        <t>Projection: Based on 5% annual growth from 2025A</t>
      </text>
    </comment>
    <comment ref="C52" authorId="0" shapeId="0">
      <text>
        <t>Estimated: 2022A Computer fees (negative for OpEx). Source: 13 Year Summary Financials.xlsx</t>
      </text>
    </comment>
    <comment ref="D52" authorId="0" shapeId="0">
      <text>
        <t>Estimated: 2023A Computer fees (negative for OpEx). Source: 13 Year Summary Financials.xlsx</t>
      </text>
    </comment>
    <comment ref="E52" authorId="0" shapeId="0">
      <text>
        <t>Estimated: 2024A Computer fees (negative for OpEx). Source: 13 Year Summary Financials.xlsx</t>
      </text>
    </comment>
    <comment ref="F52" authorId="0" shapeId="0">
      <text>
        <t>Source: Meiborg_YTD_IS_2025_12.pdf, OpEx Detail section
Extracted: 2026-05-14</t>
      </text>
    </comment>
    <comment ref="G52" authorId="0" shapeId="0">
      <text>
        <t>Projection: Based on 5% annual growth from 2025A</t>
      </text>
    </comment>
    <comment ref="H52" authorId="0" shapeId="0">
      <text>
        <t>Projection: Based on 5% annual growth from 2025A</t>
      </text>
    </comment>
    <comment ref="I52" authorId="0" shapeId="0">
      <text>
        <t>Projection: Based on 5% annual growth from 2025A</t>
      </text>
    </comment>
    <comment ref="C53" authorId="0" shapeId="0">
      <text>
        <t>Estimated: 2022A Professional Fees (negative for OpEx). Source: 13 Year Summary Financials.xlsx</t>
      </text>
    </comment>
    <comment ref="D53" authorId="0" shapeId="0">
      <text>
        <t>Estimated: 2023A Professional Fees (negative for OpEx). Source: 13 Year Summary Financials.xlsx</t>
      </text>
    </comment>
    <comment ref="E53" authorId="0" shapeId="0">
      <text>
        <t>Estimated: 2024A Professional Fees (negative for OpEx). Source: 13 Year Summary Financials.xlsx</t>
      </text>
    </comment>
    <comment ref="F53" authorId="0" shapeId="0">
      <text>
        <t>Source: Meiborg_YTD_IS_2025_12.pdf, OpEx Detail section
Extracted: 2026-05-14</t>
      </text>
    </comment>
    <comment ref="G53" authorId="0" shapeId="0">
      <text>
        <t>Projection: Based on 5% annual growth from 2025A</t>
      </text>
    </comment>
    <comment ref="H53" authorId="0" shapeId="0">
      <text>
        <t>Projection: Based on 5% annual growth from 2025A</t>
      </text>
    </comment>
    <comment ref="I53" authorId="0" shapeId="0">
      <text>
        <t>Projection: Based on 5% annual growth from 2025A</t>
      </text>
    </comment>
    <comment ref="J53" authorId="0" shapeId="0">
      <text>
        <t>Analyst note: Flag for QoE review</t>
      </text>
    </comment>
    <comment ref="C54" authorId="0" shapeId="0">
      <text>
        <t>Estimated: 2022A Building Expenses (negative for OpEx). Source: 13 Year Summary Financials.xlsx</t>
      </text>
    </comment>
    <comment ref="D54" authorId="0" shapeId="0">
      <text>
        <t>Estimated: 2023A Building Expenses (negative for OpEx). Source: 13 Year Summary Financials.xlsx</t>
      </text>
    </comment>
    <comment ref="E54" authorId="0" shapeId="0">
      <text>
        <t>Estimated: 2024A Building Expenses (negative for OpEx). Source: 13 Year Summary Financials.xlsx</t>
      </text>
    </comment>
    <comment ref="F54" authorId="0" shapeId="0">
      <text>
        <t>Source: Meiborg_YTD_IS_2025_12.pdf, OpEx Detail section
Extracted: 2026-05-14</t>
      </text>
    </comment>
    <comment ref="G54" authorId="0" shapeId="0">
      <text>
        <t>Projection: Based on 5% annual growth from 2025A</t>
      </text>
    </comment>
    <comment ref="H54" authorId="0" shapeId="0">
      <text>
        <t>Projection: Based on 5% annual growth from 2025A</t>
      </text>
    </comment>
    <comment ref="I54" authorId="0" shapeId="0">
      <text>
        <t>Projection: Based on 5% annual growth from 2025A</t>
      </text>
    </comment>
    <comment ref="C55" authorId="0" shapeId="0">
      <text>
        <t>Estimated: 2022A Utilities (negative for OpEx). Source: 13 Year Summary Financials.xlsx</t>
      </text>
    </comment>
    <comment ref="D55" authorId="0" shapeId="0">
      <text>
        <t>Estimated: 2023A Utilities (negative for OpEx). Source: 13 Year Summary Financials.xlsx</t>
      </text>
    </comment>
    <comment ref="E55" authorId="0" shapeId="0">
      <text>
        <t>Estimated: 2024A Utilities (negative for OpEx). Source: 13 Year Summary Financials.xlsx</t>
      </text>
    </comment>
    <comment ref="F55" authorId="0" shapeId="0">
      <text>
        <t>Source: Meiborg_YTD_IS_2025_12.pdf, OpEx Detail section
Extracted: 2026-05-14</t>
      </text>
    </comment>
    <comment ref="G55" authorId="0" shapeId="0">
      <text>
        <t>Projection: Based on 5% annual growth from 2025A</t>
      </text>
    </comment>
    <comment ref="H55" authorId="0" shapeId="0">
      <text>
        <t>Projection: Based on 5% annual growth from 2025A</t>
      </text>
    </comment>
    <comment ref="I55" authorId="0" shapeId="0">
      <text>
        <t>Projection: Based on 5% annual growth from 2025A</t>
      </text>
    </comment>
    <comment ref="C56" authorId="0" shapeId="0">
      <text>
        <t>Estimated: 2022A Advertising &amp; Marketing (negative for OpEx). Source: 13 Year Summary Financials.xlsx</t>
      </text>
    </comment>
    <comment ref="D56" authorId="0" shapeId="0">
      <text>
        <t>Estimated: 2023A Advertising &amp; Marketing (negative for OpEx). Source: 13 Year Summary Financials.xlsx</t>
      </text>
    </comment>
    <comment ref="E56" authorId="0" shapeId="0">
      <text>
        <t>Estimated: 2024A Advertising &amp; Marketing (negative for OpEx). Source: 13 Year Summary Financials.xlsx</t>
      </text>
    </comment>
    <comment ref="F56" authorId="0" shapeId="0">
      <text>
        <t>Source: Meiborg_YTD_IS_2025_12.pdf, OpEx Detail section
Extracted: 2026-05-14</t>
      </text>
    </comment>
    <comment ref="G56" authorId="0" shapeId="0">
      <text>
        <t>Projection: Based on 5% annual growth from 2025A</t>
      </text>
    </comment>
    <comment ref="H56" authorId="0" shapeId="0">
      <text>
        <t>Projection: Based on 5% annual growth from 2025A</t>
      </text>
    </comment>
    <comment ref="I56" authorId="0" shapeId="0">
      <text>
        <t>Projection: Based on 5% annual growth from 2025A</t>
      </text>
    </comment>
    <comment ref="C57" authorId="0" shapeId="0">
      <text>
        <t>Estimated: 2022A Travel/Meals/Entertainment (negative for OpEx). Source: 13 Year Summary Financials.xlsx</t>
      </text>
    </comment>
    <comment ref="D57" authorId="0" shapeId="0">
      <text>
        <t>Estimated: 2023A Travel/Meals/Entertainment (negative for OpEx). Source: 13 Year Summary Financials.xlsx</t>
      </text>
    </comment>
    <comment ref="E57" authorId="0" shapeId="0">
      <text>
        <t>Estimated: 2024A Travel/Meals/Entertainment (negative for OpEx). Source: 13 Year Summary Financials.xlsx</t>
      </text>
    </comment>
    <comment ref="F57" authorId="0" shapeId="0">
      <text>
        <t>Source: Meiborg_YTD_IS_2025_12.pdf, OpEx Detail section
Extracted: 2026-05-14</t>
      </text>
    </comment>
    <comment ref="G57" authorId="0" shapeId="0">
      <text>
        <t>Projection: Based on 5% annual growth from 2025A</t>
      </text>
    </comment>
    <comment ref="H57" authorId="0" shapeId="0">
      <text>
        <t>Projection: Based on 5% annual growth from 2025A</t>
      </text>
    </comment>
    <comment ref="I57" authorId="0" shapeId="0">
      <text>
        <t>Projection: Based on 5% annual growth from 2025A</t>
      </text>
    </comment>
    <comment ref="C58" authorId="0" shapeId="0">
      <text>
        <t>Estimated: 2022A Safety/Recruiting/Retention (negative for OpEx). Source: 13 Year Summary Financials.xlsx</t>
      </text>
    </comment>
    <comment ref="D58" authorId="0" shapeId="0">
      <text>
        <t>Estimated: 2023A Safety/Recruiting/Retention (negative for OpEx). Source: 13 Year Summary Financials.xlsx</t>
      </text>
    </comment>
    <comment ref="E58" authorId="0" shapeId="0">
      <text>
        <t>Estimated: 2024A Safety/Recruiting/Retention (negative for OpEx). Source: 13 Year Summary Financials.xlsx</t>
      </text>
    </comment>
    <comment ref="F58" authorId="0" shapeId="0">
      <text>
        <t>Source: Meiborg_YTD_IS_2025_12.pdf, OpEx Detail section
Extracted: 2026-05-14</t>
      </text>
    </comment>
    <comment ref="G58" authorId="0" shapeId="0">
      <text>
        <t>Projection: Based on 5% annual growth from 2025A</t>
      </text>
    </comment>
    <comment ref="H58" authorId="0" shapeId="0">
      <text>
        <t>Projection: Based on 5% annual growth from 2025A</t>
      </text>
    </comment>
    <comment ref="I58" authorId="0" shapeId="0">
      <text>
        <t>Projection: Based on 5% annual growth from 2025A</t>
      </text>
    </comment>
    <comment ref="C59" authorId="0" shapeId="0">
      <text>
        <t>Estimated: 2022A Education &amp; Training (negative for OpEx). Source: 13 Year Summary Financials.xlsx</t>
      </text>
    </comment>
    <comment ref="D59" authorId="0" shapeId="0">
      <text>
        <t>Estimated: 2023A Education &amp; Training (negative for OpEx). Source: 13 Year Summary Financials.xlsx</t>
      </text>
    </comment>
    <comment ref="E59" authorId="0" shapeId="0">
      <text>
        <t>Estimated: 2024A Education &amp; Training (negative for OpEx). Source: 13 Year Summary Financials.xlsx</t>
      </text>
    </comment>
    <comment ref="F59" authorId="0" shapeId="0">
      <text>
        <t>Source: Meiborg_YTD_IS_2025_12.pdf, OpEx Detail section
Extracted: 2026-05-14</t>
      </text>
    </comment>
    <comment ref="G59" authorId="0" shapeId="0">
      <text>
        <t>Projection: Based on 5% annual growth from 2025A</t>
      </text>
    </comment>
    <comment ref="H59" authorId="0" shapeId="0">
      <text>
        <t>Projection: Based on 5% annual growth from 2025A</t>
      </text>
    </comment>
    <comment ref="I59" authorId="0" shapeId="0">
      <text>
        <t>Projection: Based on 5% annual growth from 2025A</t>
      </text>
    </comment>
    <comment ref="C60" authorId="0" shapeId="0">
      <text>
        <t>Estimated: 2022A Insurance (negative for OpEx). Source: 13 Year Summary Financials.xlsx</t>
      </text>
    </comment>
    <comment ref="D60" authorId="0" shapeId="0">
      <text>
        <t>Estimated: 2023A Insurance (negative for OpEx). Source: 13 Year Summary Financials.xlsx</t>
      </text>
    </comment>
    <comment ref="E60" authorId="0" shapeId="0">
      <text>
        <t>Estimated: 2024A Insurance (negative for OpEx). Source: 13 Year Summary Financials.xlsx</t>
      </text>
    </comment>
    <comment ref="F60" authorId="0" shapeId="0">
      <text>
        <t>Source: Meiborg_YTD_IS_2025_12.pdf, OpEx Detail section
Extracted: 2026-05-14</t>
      </text>
    </comment>
    <comment ref="G60" authorId="0" shapeId="0">
      <text>
        <t>Projection: Based on 5% annual growth from 2025A</t>
      </text>
    </comment>
    <comment ref="H60" authorId="0" shapeId="0">
      <text>
        <t>Projection: Based on 5% annual growth from 2025A</t>
      </text>
    </comment>
    <comment ref="I60" authorId="0" shapeId="0">
      <text>
        <t>Projection: Based on 5% annual growth from 2025A</t>
      </text>
    </comment>
    <comment ref="J60" authorId="0" shapeId="0">
      <text>
        <t>Analyst note: Flag for QoE review</t>
      </text>
    </comment>
    <comment ref="C61" authorId="0" shapeId="0">
      <text>
        <t>Estimated: 2022A Bank fees (negative for OpEx). Source: 13 Year Summary Financials.xlsx</t>
      </text>
    </comment>
    <comment ref="D61" authorId="0" shapeId="0">
      <text>
        <t>Estimated: 2023A Bank fees (negative for OpEx). Source: 13 Year Summary Financials.xlsx</t>
      </text>
    </comment>
    <comment ref="E61" authorId="0" shapeId="0">
      <text>
        <t>Estimated: 2024A Bank fees (negative for OpEx). Source: 13 Year Summary Financials.xlsx</t>
      </text>
    </comment>
    <comment ref="F61" authorId="0" shapeId="0">
      <text>
        <t>Source: Meiborg_YTD_IS_2025_12.pdf, OpEx Detail section
Extracted: 2026-05-14</t>
      </text>
    </comment>
    <comment ref="G61" authorId="0" shapeId="0">
      <text>
        <t>Projection: Based on 5% annual growth from 2025A</t>
      </text>
    </comment>
    <comment ref="H61" authorId="0" shapeId="0">
      <text>
        <t>Projection: Based on 5% annual growth from 2025A</t>
      </text>
    </comment>
    <comment ref="I61" authorId="0" shapeId="0">
      <text>
        <t>Projection: Based on 5% annual growth from 2025A</t>
      </text>
    </comment>
    <comment ref="C62" authorId="0" shapeId="0">
      <text>
        <t>Sum of rows 48-61: OpEx detail items</t>
      </text>
    </comment>
    <comment ref="D62" authorId="0" shapeId="0">
      <text>
        <t>Sum of rows 48-61: OpEx detail items</t>
      </text>
    </comment>
    <comment ref="E62" authorId="0" shapeId="0">
      <text>
        <t>Sum of rows 48-61: OpEx detail items</t>
      </text>
    </comment>
    <comment ref="F62" authorId="0" shapeId="0">
      <text>
        <t>Sum of rows 48-61: OpEx detail items</t>
      </text>
    </comment>
    <comment ref="G62" authorId="0" shapeId="0">
      <text>
        <t>Sum of rows 48-61: OpEx detail items</t>
      </text>
    </comment>
    <comment ref="H62" authorId="0" shapeId="0">
      <text>
        <t>Sum of rows 48-61: OpEx detail items</t>
      </text>
    </comment>
    <comment ref="I62" authorId="0" shapeId="0">
      <text>
        <t>Sum of rows 48-61: OpEx detail items</t>
      </text>
    </comment>
    <comment ref="C65" authorId="0" shapeId="0">
      <text>
        <t>EBITDA = Gross Profit + Total OpEx (OpEx is negative)</t>
      </text>
    </comment>
    <comment ref="D65" authorId="0" shapeId="0">
      <text>
        <t>EBITDA = Gross Profit + Total OpEx (OpEx is negative)</t>
      </text>
    </comment>
    <comment ref="E65" authorId="0" shapeId="0">
      <text>
        <t>EBITDA = Gross Profit + Total OpEx (OpEx is negative)</t>
      </text>
    </comment>
    <comment ref="F65" authorId="0" shapeId="0">
      <text>
        <t>EBITDA = Gross Profit + Total OpEx (OpEx is negative)</t>
      </text>
    </comment>
    <comment ref="G65" authorId="0" shapeId="0">
      <text>
        <t>EBITDA = Gross Profit + Total OpEx (OpEx is negative)</t>
      </text>
    </comment>
    <comment ref="H65" authorId="0" shapeId="0">
      <text>
        <t>EBITDA = Gross Profit + Total OpEx (OpEx is negative)</t>
      </text>
    </comment>
    <comment ref="I65" authorId="0" shapeId="0">
      <text>
        <t>EBITDA = Gross Profit + Total OpEx (OpEx is negative)</t>
      </text>
    </comment>
    <comment ref="C66" authorId="0" shapeId="0">
      <text>
        <t>EBITDA Margin = EBITDA / Total Revenue</t>
      </text>
    </comment>
    <comment ref="D66" authorId="0" shapeId="0">
      <text>
        <t>EBITDA Margin = EBITDA / Total Revenue</t>
      </text>
    </comment>
    <comment ref="E66" authorId="0" shapeId="0">
      <text>
        <t>EBITDA Margin = EBITDA / Total Revenue</t>
      </text>
    </comment>
    <comment ref="F66" authorId="0" shapeId="0">
      <text>
        <t>EBITDA Margin = EBITDA / Total Revenue</t>
      </text>
    </comment>
    <comment ref="G66" authorId="0" shapeId="0">
      <text>
        <t>EBITDA Margin = EBITDA / Total Revenue</t>
      </text>
    </comment>
    <comment ref="H66" authorId="0" shapeId="0">
      <text>
        <t>EBITDA Margin = EBITDA / Total Revenue</t>
      </text>
    </comment>
    <comment ref="I66" authorId="0" shapeId="0">
      <text>
        <t>EBITDA Margin = EBITDA / Total Revenue</t>
      </text>
    </comment>
    <comment ref="C68" authorId="0" shapeId="0">
      <text>
        <t>Check: must be 0. Links to: Income Statement row 14 - EBITDA</t>
      </text>
    </comment>
    <comment ref="D68" authorId="0" shapeId="0">
      <text>
        <t>Check: must be 0. Links to: Income Statement row 14 - EBITDA</t>
      </text>
    </comment>
    <comment ref="E68" authorId="0" shapeId="0">
      <text>
        <t>Check: must be 0. Links to: Income Statement row 14 - EBITDA</t>
      </text>
    </comment>
    <comment ref="F68" authorId="0" shapeId="0">
      <text>
        <t>Check: must be 0. Links to: Income Statement row 14 - EBITDA</t>
      </text>
    </comment>
    <comment ref="G68" authorId="0" shapeId="0">
      <text>
        <t>Check: must be 0. Links to: Income Statement row 14 - EBITDA</t>
      </text>
    </comment>
    <comment ref="H68" authorId="0" shapeId="0">
      <text>
        <t>Check: must be 0. Links to: Income Statement row 14 - EBITDA</t>
      </text>
    </comment>
    <comment ref="I68" authorId="0" shapeId="0">
      <text>
        <t>Check: must be 0. Links to: Income Statement row 14 - EBITDA</t>
      </text>
    </comment>
  </commentList>
</comments>
</file>

<file path=xl/comments/comment93.xml><?xml version="1.0" encoding="utf-8"?>
<comments xmlns="http://schemas.openxmlformats.org/spreadsheetml/2006/main">
  <authors>
    <author>Model Builder</author>
  </authors>
  <commentList>
    <comment ref="B7" authorId="0" shapeId="0">
      <text>
        <t>Links to: Income Statement row 6 - Total Revenue</t>
      </text>
    </comment>
    <comment ref="C7" authorId="0" shapeId="0">
      <text>
        <t>Links to: Income Statement row 6, col B - Total Revenue</t>
      </text>
    </comment>
    <comment ref="D7" authorId="0" shapeId="0">
      <text>
        <t>Links to: Income Statement row 6, col C - Total Revenue</t>
      </text>
    </comment>
    <comment ref="E7" authorId="0" shapeId="0">
      <text>
        <t>Links to: Income Statement row 6, col D - Total Revenue</t>
      </text>
    </comment>
    <comment ref="F7" authorId="0" shapeId="0">
      <text>
        <t>Links to: Income Statement row 6, col E - Total Revenue</t>
      </text>
    </comment>
    <comment ref="B8" authorId="0" shapeId="0">
      <text>
        <t>Links to: Income Statement row 10 - Gross Profit</t>
      </text>
    </comment>
    <comment ref="C8" authorId="0" shapeId="0">
      <text>
        <t>Links to: Income Statement row 10, col B - Gross Profit</t>
      </text>
    </comment>
    <comment ref="D8" authorId="0" shapeId="0">
      <text>
        <t>Links to: Income Statement row 10, col C - Gross Profit</t>
      </text>
    </comment>
    <comment ref="E8" authorId="0" shapeId="0">
      <text>
        <t>Links to: Income Statement row 10, col D - Gross Profit</t>
      </text>
    </comment>
    <comment ref="F8" authorId="0" shapeId="0">
      <text>
        <t>Links to: Income Statement row 10, col E - Gross Profit</t>
      </text>
    </comment>
    <comment ref="B9" authorId="0" shapeId="0">
      <text>
        <t>Links to: Income Statement row 13 - Total Operating Expenses</t>
      </text>
    </comment>
    <comment ref="C9" authorId="0" shapeId="0">
      <text>
        <t>Links to: Income Statement row 13, col B - Total Operating Expenses</t>
      </text>
    </comment>
    <comment ref="D9" authorId="0" shapeId="0">
      <text>
        <t>Links to: Income Statement row 13, col C - Total Operating Expenses</t>
      </text>
    </comment>
    <comment ref="E9" authorId="0" shapeId="0">
      <text>
        <t>Links to: Income Statement row 13, col D - Total Operating Expenses</t>
      </text>
    </comment>
    <comment ref="F9" authorId="0" shapeId="0">
      <text>
        <t>Links to: Income Statement row 13, col E - Total Operating Expenses</t>
      </text>
    </comment>
    <comment ref="B10" authorId="0" shapeId="0">
      <text>
        <t>Links to: Income Statement row 14 - EBITDA. Expected: 2022=$10.1M, 2023=$7.1M, 2024=$8.4M, 2025=$11.1M</t>
      </text>
    </comment>
    <comment ref="C10" authorId="0" shapeId="0">
      <text>
        <t>Links to: Income Statement row 14, col B - EBITDA</t>
      </text>
    </comment>
    <comment ref="D10" authorId="0" shapeId="0">
      <text>
        <t>Links to: Income Statement row 14, col C - EBITDA</t>
      </text>
    </comment>
    <comment ref="E10" authorId="0" shapeId="0">
      <text>
        <t>Links to: Income Statement row 14, col D - EBITDA</t>
      </text>
    </comment>
    <comment ref="F10" authorId="0" shapeId="0">
      <text>
        <t>Links to: Income Statement row 14, col E - EBITDA</t>
      </text>
    </comment>
    <comment ref="B11" authorId="0" shapeId="0">
      <text>
        <t>Calculated: EBITDA divided by Revenue</t>
      </text>
    </comment>
    <comment ref="C11" authorId="0" shapeId="0">
      <text>
        <t>EBITDA Margin = EBITDA / Revenue</t>
      </text>
    </comment>
    <comment ref="D11" authorId="0" shapeId="0">
      <text>
        <t>EBITDA Margin = EBITDA / Revenue</t>
      </text>
    </comment>
    <comment ref="E11" authorId="0" shapeId="0">
      <text>
        <t>EBITDA Margin = EBITDA / Revenue</t>
      </text>
    </comment>
    <comment ref="F11" authorId="0" shapeId="0">
      <text>
        <t>EBITDA Margin = EBITDA / Revenue</t>
      </text>
    </comment>
    <comment ref="B14" authorId="0" shapeId="0">
      <text>
        <t>DD Adjustment: Placeholder - need detail from client on one-time vs recurring legal/prof fees in $2.5M total</t>
      </text>
    </comment>
    <comment ref="C14" authorId="0" shapeId="0">
      <text>
        <t>DD Adjustment placeholder - Non-Recurring Legal/Professional Fees. Set to $0 pending client detail.</t>
      </text>
    </comment>
    <comment ref="D14" authorId="0" shapeId="0">
      <text>
        <t>DD Adjustment placeholder - Non-Recurring Legal/Professional Fees. Set to $0 pending client detail.</t>
      </text>
    </comment>
    <comment ref="E14" authorId="0" shapeId="0">
      <text>
        <t>DD Adjustment placeholder - Non-Recurring Legal/Professional Fees. Set to $0 pending client detail.</t>
      </text>
    </comment>
    <comment ref="F14" authorId="0" shapeId="0">
      <text>
        <t>DD Adjustment placeholder - Non-Recurring Legal/Professional Fees. Set to $0 pending client detail.</t>
      </text>
    </comment>
    <comment ref="B15" authorId="0" shapeId="0">
      <text>
        <t>DD Adjustment: Placeholder - need detail on owner comp levels vs market rate for replacement mgmt</t>
      </text>
    </comment>
    <comment ref="C15" authorId="0" shapeId="0">
      <text>
        <t>DD Adjustment placeholder - Owner Compensation Normalization. Set to $0 pending client detail.</t>
      </text>
    </comment>
    <comment ref="D15" authorId="0" shapeId="0">
      <text>
        <t>DD Adjustment placeholder - Owner Compensation Normalization. Set to $0 pending client detail.</t>
      </text>
    </comment>
    <comment ref="E15" authorId="0" shapeId="0">
      <text>
        <t>DD Adjustment placeholder - Owner Compensation Normalization. Set to $0 pending client detail.</t>
      </text>
    </comment>
    <comment ref="F15" authorId="0" shapeId="0">
      <text>
        <t>DD Adjustment placeholder - Owner Compensation Normalization. Set to $0 pending client detail.</t>
      </text>
    </comment>
    <comment ref="B16" authorId="0" shapeId="0">
      <text>
        <t>DD Adjustment: Review required: $14.1M rent expense in 2025 - verify market rate. Properties owned by related entities.</t>
      </text>
    </comment>
    <comment ref="C16" authorId="0" shapeId="0">
      <text>
        <t>DD Adjustment placeholder - Related Party Rent Adjustment. Set to $0 pending client detail.</t>
      </text>
    </comment>
    <comment ref="D16" authorId="0" shapeId="0">
      <text>
        <t>DD Adjustment placeholder - Related Party Rent Adjustment. Set to $0 pending client detail.</t>
      </text>
    </comment>
    <comment ref="E16" authorId="0" shapeId="0">
      <text>
        <t>DD Adjustment placeholder - Related Party Rent Adjustment. Set to $0 pending client detail.</t>
      </text>
    </comment>
    <comment ref="F16" authorId="0" shapeId="0">
      <text>
        <t>DD Adjustment placeholder - Related Party Rent Adjustment. Set to $0 pending client detail.</t>
      </text>
    </comment>
    <comment ref="B17" authorId="0" shapeId="0">
      <text>
        <t>DD Adjustment: Placeholder - identify any M&amp;A, refinancing, or other one-time transaction costs</t>
      </text>
    </comment>
    <comment ref="C17" authorId="0" shapeId="0">
      <text>
        <t>DD Adjustment placeholder - One-Time Transaction Costs. Set to $0 pending client detail.</t>
      </text>
    </comment>
    <comment ref="D17" authorId="0" shapeId="0">
      <text>
        <t>DD Adjustment placeholder - One-Time Transaction Costs. Set to $0 pending client detail.</t>
      </text>
    </comment>
    <comment ref="E17" authorId="0" shapeId="0">
      <text>
        <t>DD Adjustment placeholder - One-Time Transaction Costs. Set to $0 pending client detail.</t>
      </text>
    </comment>
    <comment ref="F17" authorId="0" shapeId="0">
      <text>
        <t>DD Adjustment placeholder - One-Time Transaction Costs. Set to $0 pending client detail.</t>
      </text>
    </comment>
    <comment ref="B18" authorId="0" shapeId="0">
      <text>
        <t>DD Adjustment: Placeholder - any non-operating or extraordinary expenses</t>
      </text>
    </comment>
    <comment ref="C18" authorId="0" shapeId="0">
      <text>
        <t>DD Adjustment placeholder - Non-Operating Expenses. Set to $0 pending client detail.</t>
      </text>
    </comment>
    <comment ref="D18" authorId="0" shapeId="0">
      <text>
        <t>DD Adjustment placeholder - Non-Operating Expenses. Set to $0 pending client detail.</t>
      </text>
    </comment>
    <comment ref="E18" authorId="0" shapeId="0">
      <text>
        <t>DD Adjustment placeholder - Non-Operating Expenses. Set to $0 pending client detail.</t>
      </text>
    </comment>
    <comment ref="F18" authorId="0" shapeId="0">
      <text>
        <t>DD Adjustment placeholder - Non-Operating Expenses. Set to $0 pending client detail.</t>
      </text>
    </comment>
    <comment ref="B19" authorId="0" shapeId="0">
      <text>
        <t>DD Adjustment: Placeholder - review inventory aging and obsolescence provisions</t>
      </text>
    </comment>
    <comment ref="C19" authorId="0" shapeId="0">
      <text>
        <t>DD Adjustment placeholder - Inventory Obsolescence Reserve. Set to $0 pending client detail.</t>
      </text>
    </comment>
    <comment ref="D19" authorId="0" shapeId="0">
      <text>
        <t>DD Adjustment placeholder - Inventory Obsolescence Reserve. Set to $0 pending client detail.</t>
      </text>
    </comment>
    <comment ref="E19" authorId="0" shapeId="0">
      <text>
        <t>DD Adjustment placeholder - Inventory Obsolescence Reserve. Set to $0 pending client detail.</t>
      </text>
    </comment>
    <comment ref="F19" authorId="0" shapeId="0">
      <text>
        <t>DD Adjustment placeholder - Inventory Obsolescence Reserve. Set to $0 pending client detail.</t>
      </text>
    </comment>
    <comment ref="B20" authorId="0" shapeId="0">
      <text>
        <t>DD Adjustment: Placeholder - review AR aging ($8.4M total, 78% current, 12% &gt;20 days)</t>
      </text>
    </comment>
    <comment ref="C20" authorId="0" shapeId="0">
      <text>
        <t>DD Adjustment placeholder - AR Bad Debt Adjustment. Set to $0 pending client detail.</t>
      </text>
    </comment>
    <comment ref="D20" authorId="0" shapeId="0">
      <text>
        <t>DD Adjustment placeholder - AR Bad Debt Adjustment. Set to $0 pending client detail.</t>
      </text>
    </comment>
    <comment ref="E20" authorId="0" shapeId="0">
      <text>
        <t>DD Adjustment placeholder - AR Bad Debt Adjustment. Set to $0 pending client detail.</t>
      </text>
    </comment>
    <comment ref="F20" authorId="0" shapeId="0">
      <text>
        <t>DD Adjustment placeholder - AR Bad Debt Adjustment. Set to $0 pending client detail.</t>
      </text>
    </comment>
    <comment ref="B21" authorId="0" shapeId="0">
      <text>
        <t>DD Adjustment: Review: $1.3M insurance in OpEx + $2.2M in COGS = $3.5M total - verify market rate</t>
      </text>
    </comment>
    <comment ref="C21" authorId="0" shapeId="0">
      <text>
        <t>DD Adjustment placeholder - Insurance Normalization. Set to $0 pending client detail.</t>
      </text>
    </comment>
    <comment ref="D21" authorId="0" shapeId="0">
      <text>
        <t>DD Adjustment placeholder - Insurance Normalization. Set to $0 pending client detail.</t>
      </text>
    </comment>
    <comment ref="E21" authorId="0" shapeId="0">
      <text>
        <t>DD Adjustment placeholder - Insurance Normalization. Set to $0 pending client detail.</t>
      </text>
    </comment>
    <comment ref="F21" authorId="0" shapeId="0">
      <text>
        <t>DD Adjustment placeholder - Insurance Normalization. Set to $0 pending client detail.</t>
      </text>
    </comment>
    <comment ref="B22" authorId="0" shapeId="0">
      <text>
        <t>Sum of DD adjustment rows 14-21</t>
      </text>
    </comment>
    <comment ref="C22" authorId="0" shapeId="0">
      <text>
        <t>Sum of DD adjustments rows 14-21</t>
      </text>
    </comment>
    <comment ref="D22" authorId="0" shapeId="0">
      <text>
        <t>Sum of DD adjustments rows 14-21</t>
      </text>
    </comment>
    <comment ref="E22" authorId="0" shapeId="0">
      <text>
        <t>Sum of DD adjustments rows 14-21</t>
      </text>
    </comment>
    <comment ref="F22" authorId="0" shapeId="0">
      <text>
        <t>Sum of DD adjustments rows 14-21</t>
      </text>
    </comment>
    <comment ref="B25" authorId="0" shapeId="0">
      <text>
        <t>Pro Forma: Refinancing $50.4M debt expected to reduce annual debt service by $4.3M. Source: mandate thesis.</t>
      </text>
    </comment>
    <comment ref="C25" authorId="0" shapeId="0">
      <text>
        <t>Pro Forma debt service savings = $4.3M/yr from refinancing. Source: mandate thesis.</t>
      </text>
    </comment>
    <comment ref="D25" authorId="0" shapeId="0">
      <text>
        <t>Pro Forma debt service savings = $4.3M/yr from refinancing. Source: mandate thesis.</t>
      </text>
    </comment>
    <comment ref="E25" authorId="0" shapeId="0">
      <text>
        <t>Pro Forma debt service savings = $4.3M/yr from refinancing. Source: mandate thesis.</t>
      </text>
    </comment>
    <comment ref="F25" authorId="0" shapeId="0">
      <text>
        <t>Pro Forma debt service savings = $4.3M/yr from refinancing. Source: mandate thesis.</t>
      </text>
    </comment>
    <comment ref="B26" authorId="0" shapeId="0">
      <text>
        <t>Pro Forma: Real estate loans currently at ~9% interest-only. Refinance at 6.5% saves 2.5% on $13M = $325K.</t>
      </text>
    </comment>
    <comment ref="C26" authorId="0" shapeId="0">
      <text>
        <t>Interest savings = $13M RE debt * (9% current - 6.5% new) = $325K/yr</t>
      </text>
    </comment>
    <comment ref="D26" authorId="0" shapeId="0">
      <text>
        <t>Interest savings = $13M RE debt * (9% current - 6.5% new) = $325K/yr</t>
      </text>
    </comment>
    <comment ref="E26" authorId="0" shapeId="0">
      <text>
        <t>Interest savings = $13M RE debt * (9% current - 6.5% new) = $325K/yr</t>
      </text>
    </comment>
    <comment ref="F26" authorId="0" shapeId="0">
      <text>
        <t>Interest savings = $13M RE debt * (9% current - 6.5% new) = $325K/yr</t>
      </text>
    </comment>
    <comment ref="B27" authorId="0" shapeId="0">
      <text>
        <t>Pro Forma: New ABL facility estimated at $8M draw at 10% = $800K annual interest cost (negative adjustment).</t>
      </text>
    </comment>
    <comment ref="C27" authorId="0" shapeId="0">
      <text>
        <t>ABL interest cost = $8M * 10% = ($800K)/yr. This is a new cost (negative).</t>
      </text>
    </comment>
    <comment ref="D27" authorId="0" shapeId="0">
      <text>
        <t>ABL interest cost = $8M * 10% = ($800K)/yr. This is a new cost (negative).</t>
      </text>
    </comment>
    <comment ref="E27" authorId="0" shapeId="0">
      <text>
        <t>ABL interest cost = $8M * 10% = ($800K)/yr. This is a new cost (negative).</t>
      </text>
    </comment>
    <comment ref="F27" authorId="0" shapeId="0">
      <text>
        <t>ABL interest cost = $8M * 10% = ($800K)/yr. This is a new cost (negative).</t>
      </text>
    </comment>
    <comment ref="B28" authorId="0" shapeId="0">
      <text>
        <t>Pro Forma: Placeholder for any management fee normalization required post-transaction.</t>
      </text>
    </comment>
    <comment ref="C28" authorId="0" shapeId="0">
      <text>
        <t>Management fee normalization placeholder - set to $0 pending transaction structure.</t>
      </text>
    </comment>
    <comment ref="D28" authorId="0" shapeId="0">
      <text>
        <t>Management fee normalization placeholder - set to $0 pending transaction structure.</t>
      </text>
    </comment>
    <comment ref="E28" authorId="0" shapeId="0">
      <text>
        <t>Management fee normalization placeholder - set to $0 pending transaction structure.</t>
      </text>
    </comment>
    <comment ref="F28" authorId="0" shapeId="0">
      <text>
        <t>Management fee normalization placeholder - set to $0 pending transaction structure.</t>
      </text>
    </comment>
    <comment ref="B29" authorId="0" shapeId="0">
      <text>
        <t>Sum of Pro Forma adjustment rows 25-28</t>
      </text>
    </comment>
    <comment ref="C29" authorId="0" shapeId="0">
      <text>
        <t>Sum of Pro Forma adjustments rows 25-28</t>
      </text>
    </comment>
    <comment ref="D29" authorId="0" shapeId="0">
      <text>
        <t>Sum of Pro Forma adjustments rows 25-28</t>
      </text>
    </comment>
    <comment ref="E29" authorId="0" shapeId="0">
      <text>
        <t>Sum of Pro Forma adjustments rows 25-28</t>
      </text>
    </comment>
    <comment ref="F29" authorId="0" shapeId="0">
      <text>
        <t>Sum of Pro Forma adjustments rows 25-28</t>
      </text>
    </comment>
    <comment ref="B32" authorId="0" shapeId="0">
      <text>
        <t>Links to EBITDA per Management in row 10</t>
      </text>
    </comment>
    <comment ref="C32" authorId="0" shapeId="0">
      <text>
        <t>Links to EBITDA per Management row 10</t>
      </text>
    </comment>
    <comment ref="D32" authorId="0" shapeId="0">
      <text>
        <t>Links to EBITDA per Management row 10</t>
      </text>
    </comment>
    <comment ref="E32" authorId="0" shapeId="0">
      <text>
        <t>Links to EBITDA per Management row 10</t>
      </text>
    </comment>
    <comment ref="F32" authorId="0" shapeId="0">
      <text>
        <t>Links to EBITDA per Management row 10</t>
      </text>
    </comment>
    <comment ref="B33" authorId="0" shapeId="0">
      <text>
        <t>Links to DD Adjustments subtotal in row 22</t>
      </text>
    </comment>
    <comment ref="C33" authorId="0" shapeId="0">
      <text>
        <t>Links to DD Adjustments subtotal row 22</t>
      </text>
    </comment>
    <comment ref="D33" authorId="0" shapeId="0">
      <text>
        <t>Links to DD Adjustments subtotal row 22</t>
      </text>
    </comment>
    <comment ref="E33" authorId="0" shapeId="0">
      <text>
        <t>Links to DD Adjustments subtotal row 22</t>
      </text>
    </comment>
    <comment ref="F33" authorId="0" shapeId="0">
      <text>
        <t>Links to DD Adjustments subtotal row 22</t>
      </text>
    </comment>
    <comment ref="B34" authorId="0" shapeId="0">
      <text>
        <t>Links to Pro Forma Adjustments subtotal in row 29</t>
      </text>
    </comment>
    <comment ref="C34" authorId="0" shapeId="0">
      <text>
        <t>Links to Pro Forma Adjustments subtotal row 29</t>
      </text>
    </comment>
    <comment ref="D34" authorId="0" shapeId="0">
      <text>
        <t>Links to Pro Forma Adjustments subtotal row 29</t>
      </text>
    </comment>
    <comment ref="E34" authorId="0" shapeId="0">
      <text>
        <t>Links to Pro Forma Adjustments subtotal row 29</t>
      </text>
    </comment>
    <comment ref="F34" authorId="0" shapeId="0">
      <text>
        <t>Links to Pro Forma Adjustments subtotal row 29</t>
      </text>
    </comment>
    <comment ref="B35" authorId="0" shapeId="0">
      <text>
        <t>Adjusted EBITDA = Reported EBITDA + DD Adjustments + Pro Forma Adjustments</t>
      </text>
    </comment>
    <comment ref="C35" authorId="0" shapeId="0">
      <text>
        <t>Adjusted EBITDA = Reported + DD Adjustments + Pro Forma Adjustments</t>
      </text>
    </comment>
    <comment ref="D35" authorId="0" shapeId="0">
      <text>
        <t>Adjusted EBITDA = Reported + DD Adjustments + Pro Forma Adjustments</t>
      </text>
    </comment>
    <comment ref="E35" authorId="0" shapeId="0">
      <text>
        <t>Adjusted EBITDA = Reported + DD Adjustments + Pro Forma Adjustments</t>
      </text>
    </comment>
    <comment ref="F35" authorId="0" shapeId="0">
      <text>
        <t>Adjusted EBITDA = Reported + DD Adjustments + Pro Forma Adjustments</t>
      </text>
    </comment>
    <comment ref="B36" authorId="0" shapeId="0">
      <text>
        <t>Adjusted EBITDA Margin = Adjusted EBITDA / Revenue</t>
      </text>
    </comment>
    <comment ref="C36" authorId="0" shapeId="0">
      <text>
        <t>Adjusted EBITDA Margin = Adjusted EBITDA / Revenue</t>
      </text>
    </comment>
    <comment ref="D36" authorId="0" shapeId="0">
      <text>
        <t>Adjusted EBITDA Margin = Adjusted EBITDA / Revenue</t>
      </text>
    </comment>
    <comment ref="E36" authorId="0" shapeId="0">
      <text>
        <t>Adjusted EBITDA Margin = Adjusted EBITDA / Revenue</t>
      </text>
    </comment>
    <comment ref="F36" authorId="0" shapeId="0">
      <text>
        <t>Adjusted EBITDA Margin = Adjusted EBITDA / Revenue</t>
      </text>
    </comment>
    <comment ref="B39" authorId="0" shapeId="0">
      <text>
        <t>Source: Debt Schedule 202512.xlsx - Total outstanding debt as of 12/31/2025.</t>
      </text>
    </comment>
    <comment ref="C39" authorId="0" shapeId="0">
      <text>
        <t>Source: Balance Sheet 2022 - Current + LT Bank Notes</t>
      </text>
    </comment>
    <comment ref="D39" authorId="0" shapeId="0">
      <text>
        <t>Source: Balance Sheet 2023 - Current + LT Bank Notes</t>
      </text>
    </comment>
    <comment ref="E39" authorId="0" shapeId="0">
      <text>
        <t>Source: Balance Sheet 2024 - Current + LT Bank Notes + LOC</t>
      </text>
    </comment>
    <comment ref="F39" authorId="0" shapeId="0">
      <text>
        <t>Source: Debt Schedule 202512.xlsx - Total outstanding debt</t>
      </text>
    </comment>
    <comment ref="B40" authorId="0" shapeId="0">
      <text>
        <t>Net Debt = Total Debt less Cash. Cash from Balance Sheet row 7.</t>
      </text>
    </comment>
    <comment ref="C40" authorId="0" shapeId="0">
      <text>
        <t>Net Debt = Total Debt - Cash (BS row 7 col B)</t>
      </text>
    </comment>
    <comment ref="D40" authorId="0" shapeId="0">
      <text>
        <t>Net Debt = Total Debt - Cash (BS row 7 col C)</t>
      </text>
    </comment>
    <comment ref="E40" authorId="0" shapeId="0">
      <text>
        <t>Net Debt = Total Debt - Cash (BS row 7 col D)</t>
      </text>
    </comment>
    <comment ref="F40" authorId="0" shapeId="0">
      <text>
        <t>Net Debt = Total Debt - Cash (BS row 7 col E)</t>
      </text>
    </comment>
    <comment ref="B41" authorId="0" shapeId="0">
      <text>
        <t>Leverage ratio = Total Debt / Adjusted EBITDA. Target: &lt;4.0x for refinancing.</t>
      </text>
    </comment>
    <comment ref="C41" authorId="0" shapeId="0">
      <text>
        <t>Leverage = Total Debt / Adjusted EBITDA</t>
      </text>
    </comment>
    <comment ref="D41" authorId="0" shapeId="0">
      <text>
        <t>Leverage = Total Debt / Adjusted EBITDA</t>
      </text>
    </comment>
    <comment ref="E41" authorId="0" shapeId="0">
      <text>
        <t>Leverage = Total Debt / Adjusted EBITDA</t>
      </text>
    </comment>
    <comment ref="F41" authorId="0" shapeId="0">
      <text>
        <t>Leverage = Total Debt / Adjusted EBITDA</t>
      </text>
    </comment>
    <comment ref="B42" authorId="0" shapeId="0">
      <text>
        <t>Net Leverage ratio = Net Debt / Adjusted EBITDA.</t>
      </text>
    </comment>
    <comment ref="C42" authorId="0" shapeId="0">
      <text>
        <t>Net Leverage = Net Debt / Adjusted EBITDA</t>
      </text>
    </comment>
    <comment ref="D42" authorId="0" shapeId="0">
      <text>
        <t>Net Leverage = Net Debt / Adjusted EBITDA</t>
      </text>
    </comment>
    <comment ref="E42" authorId="0" shapeId="0">
      <text>
        <t>Net Leverage = Net Debt / Adjusted EBITDA</t>
      </text>
    </comment>
    <comment ref="F42" authorId="0" shapeId="0">
      <text>
        <t>Net Leverage = Net Debt / Adjusted EBITDA</t>
      </text>
    </comment>
    <comment ref="B43" authorId="0" shapeId="0">
      <text>
        <t>Debt Service Coverage Ratio = Adjusted EBITDA / Annual Debt Service. Current DS = $1.07M/mo = $12.8M/yr.</t>
      </text>
    </comment>
    <comment ref="C43" authorId="0" shapeId="0">
      <text>
        <t>DSCR = Adj EBITDA / $12.8M annual debt service (current)</t>
      </text>
    </comment>
    <comment ref="D43" authorId="0" shapeId="0">
      <text>
        <t>DSCR = Adj EBITDA / $12.8M annual debt service (current)</t>
      </text>
    </comment>
    <comment ref="E43" authorId="0" shapeId="0">
      <text>
        <t>DSCR = Adj EBITDA / $12.8M annual debt service (current)</t>
      </text>
    </comment>
    <comment ref="F43" authorId="0" shapeId="0">
      <text>
        <t>DSCR = Adj EBITDA / $12.8M annual debt service (current). Post-refi target DS ~$8.5M/yr.</t>
      </text>
    </comment>
    <comment ref="B44" authorId="0" shapeId="0">
      <text>
        <t>Interest Coverage = Adjusted EBITDA / Interest Expense. Links to IS row 21.</t>
      </text>
    </comment>
    <comment ref="C44" authorId="0" shapeId="0">
      <text>
        <t>Interest Coverage = Adj EBITDA / |Interest Expense| (IS row 21 col B)</t>
      </text>
    </comment>
    <comment ref="D44" authorId="0" shapeId="0">
      <text>
        <t>Interest Coverage = Adj EBITDA / |Interest Expense| (IS row 21 col C)</t>
      </text>
    </comment>
    <comment ref="E44" authorId="0" shapeId="0">
      <text>
        <t>Interest Coverage = Adj EBITDA / |Interest Expense| (IS row 21 col D)</t>
      </text>
    </comment>
    <comment ref="F44" authorId="0" shapeId="0">
      <text>
        <t>Interest Coverage = Adj EBITDA / |Interest Expense| (IS row 21 col E)</t>
      </text>
    </comment>
  </commentList>
</comments>
</file>

<file path=xl/comments/comment94.xml><?xml version="1.0" encoding="utf-8"?>
<comments xmlns="http://schemas.openxmlformats.org/spreadsheetml/2006/main">
  <authors>
    <author>Model Builder</author>
  </authors>
  <commentList>
    <comment ref="C7" authorId="0" shapeId="0">
      <text>
        <t>Source: data/loans.md, data/reader_summary.md
Extracted: 2026-05-14</t>
      </text>
    </comment>
    <comment ref="C8" authorId="0" shapeId="0">
      <text>
        <t>Source: data/loans.md, data/reader_summary.md
Extracted: 2026-05-14</t>
      </text>
    </comment>
    <comment ref="C9" authorId="0" shapeId="0">
      <text>
        <t>Source: data/loans.md, data/reader_summary.md
Extracted: 2026-05-14</t>
      </text>
    </comment>
    <comment ref="C10" authorId="0" shapeId="0">
      <text>
        <t>Source: data/loans.md, data/reader_summary.md
Extracted: 2026-05-14</t>
      </text>
    </comment>
    <comment ref="C11" authorId="0" shapeId="0">
      <text>
        <t>Source: data/loans.md, data/reader_summary.md
Extracted: 2026-05-14</t>
      </text>
    </comment>
    <comment ref="C13" authorId="0" shapeId="0">
      <text>
        <t>Source: QoE analysis, income_statement.md
Extracted: 2026-05-14</t>
      </text>
    </comment>
    <comment ref="C14" authorId="0" shapeId="0">
      <text>
        <t>Source: QoE analysis, income_statement.md
Extracted: 2026-05-14</t>
      </text>
    </comment>
    <comment ref="C15" authorId="0" shapeId="0">
      <text>
        <t>Source: QoE analysis, income_statement.md
Extracted: 2026-05-14</t>
      </text>
    </comment>
    <comment ref="C16" authorId="0" shapeId="0">
      <text>
        <t>Source: QoE analysis, income_statement.md
Extracted: 2026-05-14</t>
      </text>
    </comment>
    <comment ref="C17" authorId="0" shapeId="0">
      <text>
        <t>Source: QoE analysis, income_statement.md
Extracted: 2026-05-14</t>
      </text>
    </comment>
    <comment ref="C20" authorId="0" shapeId="0">
      <text>
        <t>Source: Model build notes
Extracted: 2026-05-14</t>
      </text>
    </comment>
    <comment ref="C21" authorId="0" shapeId="0">
      <text>
        <t>Source: Model build notes
Extracted: 2026-05-14</t>
      </text>
    </comment>
    <comment ref="C22" authorId="0" shapeId="0">
      <text>
        <t>Source: Model build notes
Extracted: 2026-05-14</t>
      </text>
    </comment>
    <comment ref="C23" authorId="0" shapeId="0">
      <text>
        <t>Source: Model build notes
Extracted: 2026-05-14</t>
      </text>
    </comment>
    <comment ref="C24" authorId="0" shapeId="0">
      <text>
        <t>Source: Model build notes
Extracted: 2026-05-14</t>
      </text>
    </comment>
    <comment ref="C27" authorId="0" shapeId="0">
      <text>
        <t>Source: Transaction workstream notes
Extracted: 2026-05-14</t>
      </text>
    </comment>
    <comment ref="C28" authorId="0" shapeId="0">
      <text>
        <t>Source: Transaction workstream notes
Extracted: 2026-05-14</t>
      </text>
    </comment>
    <comment ref="C29" authorId="0" shapeId="0">
      <text>
        <t>Source: Transaction workstream notes
Extracted: 2026-05-14</t>
      </text>
    </comment>
    <comment ref="C30" authorId="0" shapeId="0">
      <text>
        <t>Source: Transaction workstream notes
Extracted: 2026-05-14</t>
      </text>
    </comment>
    <comment ref="C31" authorId="0" shapeId="0">
      <text>
        <t>Source: Transaction workstream notes
Extracted: 2026-05-14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10.xml.rels><Relationships xmlns="http://schemas.openxmlformats.org/package/2006/relationships"><Relationship Type="http://schemas.openxmlformats.org/officeDocument/2006/relationships/comments" Target="/xl/comments/comment9.xml" Id="comments" /><Relationship Type="http://schemas.openxmlformats.org/officeDocument/2006/relationships/vmlDrawing" Target="/xl/drawings/commentsDrawing9.vml" Id="anysvml" /></Relationships>
</file>

<file path=xl/worksheets/_rels/sheet11.xml.rels><Relationships xmlns="http://schemas.openxmlformats.org/package/2006/relationships"><Relationship Type="http://schemas.openxmlformats.org/officeDocument/2006/relationships/comments" Target="/xl/comments/comment10.xml" Id="comments" /><Relationship Type="http://schemas.openxmlformats.org/officeDocument/2006/relationships/vmlDrawing" Target="/xl/drawings/commentsDrawing10.vml" Id="anysvml" /></Relationships>
</file>

<file path=xl/worksheets/_rels/sheet12.xml.rels><Relationships xmlns="http://schemas.openxmlformats.org/package/2006/relationships"><Relationship Type="http://schemas.openxmlformats.org/officeDocument/2006/relationships/comments" Target="/xl/comments/comment11.xml" Id="comments" /><Relationship Type="http://schemas.openxmlformats.org/officeDocument/2006/relationships/vmlDrawing" Target="/xl/drawings/commentsDrawing11.vml" Id="anysvml" /></Relationships>
</file>

<file path=xl/worksheets/_rels/sheet13.xml.rels><Relationships xmlns="http://schemas.openxmlformats.org/package/2006/relationships"><Relationship Type="http://schemas.openxmlformats.org/officeDocument/2006/relationships/comments" Target="/xl/comments/comment12.xml" Id="comments" /><Relationship Type="http://schemas.openxmlformats.org/officeDocument/2006/relationships/vmlDrawing" Target="/xl/drawings/commentsDrawing12.vml" Id="anysvml" /></Relationships>
</file>

<file path=xl/worksheets/_rels/sheet14.xml.rels><Relationships xmlns="http://schemas.openxmlformats.org/package/2006/relationships"><Relationship Type="http://schemas.openxmlformats.org/officeDocument/2006/relationships/comments" Target="/xl/comments/comment13.xml" Id="comments" /><Relationship Type="http://schemas.openxmlformats.org/officeDocument/2006/relationships/vmlDrawing" Target="/xl/drawings/commentsDrawing13.vml" Id="anysvml" /></Relationships>
</file>

<file path=xl/worksheets/_rels/sheet15.xml.rels><Relationships xmlns="http://schemas.openxmlformats.org/package/2006/relationships"><Relationship Type="http://schemas.openxmlformats.org/officeDocument/2006/relationships/comments" Target="/xl/comments/comment14.xml" Id="comments" /><Relationship Type="http://schemas.openxmlformats.org/officeDocument/2006/relationships/vmlDrawing" Target="/xl/drawings/commentsDrawing14.vml" Id="anysvml" /></Relationships>
</file>

<file path=xl/worksheets/_rels/sheet16.xml.rels><Relationships xmlns="http://schemas.openxmlformats.org/package/2006/relationships"><Relationship Type="http://schemas.openxmlformats.org/officeDocument/2006/relationships/comments" Target="/xl/comments/comment15.xml" Id="comments" /><Relationship Type="http://schemas.openxmlformats.org/officeDocument/2006/relationships/vmlDrawing" Target="/xl/drawings/commentsDrawing15.vml" Id="anysvml" /></Relationships>
</file>

<file path=xl/worksheets/_rels/sheet17.xml.rels><Relationships xmlns="http://schemas.openxmlformats.org/package/2006/relationships"><Relationship Type="http://schemas.openxmlformats.org/officeDocument/2006/relationships/comments" Target="/xl/comments/comment16.xml" Id="comments" /><Relationship Type="http://schemas.openxmlformats.org/officeDocument/2006/relationships/vmlDrawing" Target="/xl/drawings/commentsDrawing16.vml" Id="anysvml" /></Relationships>
</file>

<file path=xl/worksheets/_rels/sheet18.xml.rels><Relationships xmlns="http://schemas.openxmlformats.org/package/2006/relationships"><Relationship Type="http://schemas.openxmlformats.org/officeDocument/2006/relationships/comments" Target="/xl/comments/comment17.xml" Id="comments" /><Relationship Type="http://schemas.openxmlformats.org/officeDocument/2006/relationships/vmlDrawing" Target="/xl/drawings/commentsDrawing17.vml" Id="anysvml" /></Relationships>
</file>

<file path=xl/worksheets/_rels/sheet19.xml.rels><Relationships xmlns="http://schemas.openxmlformats.org/package/2006/relationships"><Relationship Type="http://schemas.openxmlformats.org/officeDocument/2006/relationships/comments" Target="/xl/comments/comment18.xml" Id="comments" /><Relationship Type="http://schemas.openxmlformats.org/officeDocument/2006/relationships/vmlDrawing" Target="/xl/drawings/commentsDrawing18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20.xml.rels><Relationships xmlns="http://schemas.openxmlformats.org/package/2006/relationships"><Relationship Type="http://schemas.openxmlformats.org/officeDocument/2006/relationships/comments" Target="/xl/comments/comment19.xml" Id="comments" /><Relationship Type="http://schemas.openxmlformats.org/officeDocument/2006/relationships/vmlDrawing" Target="/xl/drawings/commentsDrawing19.vml" Id="anysvml" /></Relationships>
</file>

<file path=xl/worksheets/_rels/sheet21.xml.rels><Relationships xmlns="http://schemas.openxmlformats.org/package/2006/relationships"><Relationship Type="http://schemas.openxmlformats.org/officeDocument/2006/relationships/comments" Target="/xl/comments/comment20.xml" Id="comments" /><Relationship Type="http://schemas.openxmlformats.org/officeDocument/2006/relationships/vmlDrawing" Target="/xl/drawings/commentsDrawing20.vml" Id="anysvml" /></Relationships>
</file>

<file path=xl/worksheets/_rels/sheet22.xml.rels><Relationships xmlns="http://schemas.openxmlformats.org/package/2006/relationships"><Relationship Type="http://schemas.openxmlformats.org/officeDocument/2006/relationships/comments" Target="/xl/comments/comment21.xml" Id="comments" /><Relationship Type="http://schemas.openxmlformats.org/officeDocument/2006/relationships/vmlDrawing" Target="/xl/drawings/commentsDrawing21.vml" Id="anysvml" /></Relationships>
</file>

<file path=xl/worksheets/_rels/sheet23.xml.rels><Relationships xmlns="http://schemas.openxmlformats.org/package/2006/relationships"><Relationship Type="http://schemas.openxmlformats.org/officeDocument/2006/relationships/comments" Target="/xl/comments/comment22.xml" Id="comments" /><Relationship Type="http://schemas.openxmlformats.org/officeDocument/2006/relationships/vmlDrawing" Target="/xl/drawings/commentsDrawing22.vml" Id="anysvml" /></Relationships>
</file>

<file path=xl/worksheets/_rels/sheet24.xml.rels><Relationships xmlns="http://schemas.openxmlformats.org/package/2006/relationships"><Relationship Type="http://schemas.openxmlformats.org/officeDocument/2006/relationships/comments" Target="/xl/comments/comment23.xml" Id="comments" /><Relationship Type="http://schemas.openxmlformats.org/officeDocument/2006/relationships/vmlDrawing" Target="/xl/drawings/commentsDrawing23.vml" Id="anysvml" /></Relationships>
</file>

<file path=xl/worksheets/_rels/sheet25.xml.rels><Relationships xmlns="http://schemas.openxmlformats.org/package/2006/relationships"><Relationship Type="http://schemas.openxmlformats.org/officeDocument/2006/relationships/comments" Target="/xl/comments/comment24.xml" Id="comments" /><Relationship Type="http://schemas.openxmlformats.org/officeDocument/2006/relationships/vmlDrawing" Target="/xl/drawings/commentsDrawing24.vml" Id="anysvml" /></Relationships>
</file>

<file path=xl/worksheets/_rels/sheet26.xml.rels><Relationships xmlns="http://schemas.openxmlformats.org/package/2006/relationships"><Relationship Type="http://schemas.openxmlformats.org/officeDocument/2006/relationships/comments" Target="/xl/comments/comment25.xml" Id="comments" /><Relationship Type="http://schemas.openxmlformats.org/officeDocument/2006/relationships/vmlDrawing" Target="/xl/drawings/commentsDrawing25.vml" Id="anysvml" /></Relationships>
</file>

<file path=xl/worksheets/_rels/sheet27.xml.rels><Relationships xmlns="http://schemas.openxmlformats.org/package/2006/relationships"><Relationship Type="http://schemas.openxmlformats.org/officeDocument/2006/relationships/comments" Target="/xl/comments/comment26.xml" Id="comments" /><Relationship Type="http://schemas.openxmlformats.org/officeDocument/2006/relationships/vmlDrawing" Target="/xl/drawings/commentsDrawing26.vml" Id="anysvml" /></Relationships>
</file>

<file path=xl/worksheets/_rels/sheet28.xml.rels><Relationships xmlns="http://schemas.openxmlformats.org/package/2006/relationships"><Relationship Type="http://schemas.openxmlformats.org/officeDocument/2006/relationships/comments" Target="/xl/comments/comment27.xml" Id="comments" /><Relationship Type="http://schemas.openxmlformats.org/officeDocument/2006/relationships/vmlDrawing" Target="/xl/drawings/commentsDrawing27.vml" Id="anysvml" /></Relationships>
</file>

<file path=xl/worksheets/_rels/sheet29.xml.rels><Relationships xmlns="http://schemas.openxmlformats.org/package/2006/relationships"><Relationship Type="http://schemas.openxmlformats.org/officeDocument/2006/relationships/comments" Target="/xl/comments/comment28.xml" Id="comments" /><Relationship Type="http://schemas.openxmlformats.org/officeDocument/2006/relationships/vmlDrawing" Target="/xl/drawings/commentsDrawing28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30.xml.rels><Relationships xmlns="http://schemas.openxmlformats.org/package/2006/relationships"><Relationship Type="http://schemas.openxmlformats.org/officeDocument/2006/relationships/comments" Target="/xl/comments/comment29.xml" Id="comments" /><Relationship Type="http://schemas.openxmlformats.org/officeDocument/2006/relationships/vmlDrawing" Target="/xl/drawings/commentsDrawing29.vml" Id="anysvml" /></Relationships>
</file>

<file path=xl/worksheets/_rels/sheet31.xml.rels><Relationships xmlns="http://schemas.openxmlformats.org/package/2006/relationships"><Relationship Type="http://schemas.openxmlformats.org/officeDocument/2006/relationships/comments" Target="/xl/comments/comment30.xml" Id="comments" /><Relationship Type="http://schemas.openxmlformats.org/officeDocument/2006/relationships/vmlDrawing" Target="/xl/drawings/commentsDrawing30.vml" Id="anysvml" /></Relationships>
</file>

<file path=xl/worksheets/_rels/sheet32.xml.rels><Relationships xmlns="http://schemas.openxmlformats.org/package/2006/relationships"><Relationship Type="http://schemas.openxmlformats.org/officeDocument/2006/relationships/comments" Target="/xl/comments/comment31.xml" Id="comments" /><Relationship Type="http://schemas.openxmlformats.org/officeDocument/2006/relationships/vmlDrawing" Target="/xl/drawings/commentsDrawing31.vml" Id="anysvml" /></Relationships>
</file>

<file path=xl/worksheets/_rels/sheet33.xml.rels><Relationships xmlns="http://schemas.openxmlformats.org/package/2006/relationships"><Relationship Type="http://schemas.openxmlformats.org/officeDocument/2006/relationships/comments" Target="/xl/comments/comment32.xml" Id="comments" /><Relationship Type="http://schemas.openxmlformats.org/officeDocument/2006/relationships/vmlDrawing" Target="/xl/drawings/commentsDrawing32.vml" Id="anysvml" /></Relationships>
</file>

<file path=xl/worksheets/_rels/sheet34.xml.rels><Relationships xmlns="http://schemas.openxmlformats.org/package/2006/relationships"><Relationship Type="http://schemas.openxmlformats.org/officeDocument/2006/relationships/comments" Target="/xl/comments/comment33.xml" Id="comments" /><Relationship Type="http://schemas.openxmlformats.org/officeDocument/2006/relationships/vmlDrawing" Target="/xl/drawings/commentsDrawing33.vml" Id="anysvml" /></Relationships>
</file>

<file path=xl/worksheets/_rels/sheet35.xml.rels><Relationships xmlns="http://schemas.openxmlformats.org/package/2006/relationships"><Relationship Type="http://schemas.openxmlformats.org/officeDocument/2006/relationships/comments" Target="/xl/comments/comment34.xml" Id="comments" /><Relationship Type="http://schemas.openxmlformats.org/officeDocument/2006/relationships/vmlDrawing" Target="/xl/drawings/commentsDrawing34.vml" Id="anysvml" /></Relationships>
</file>

<file path=xl/worksheets/_rels/sheet36.xml.rels><Relationships xmlns="http://schemas.openxmlformats.org/package/2006/relationships"><Relationship Type="http://schemas.openxmlformats.org/officeDocument/2006/relationships/comments" Target="/xl/comments/comment35.xml" Id="comments" /><Relationship Type="http://schemas.openxmlformats.org/officeDocument/2006/relationships/vmlDrawing" Target="/xl/drawings/commentsDrawing35.vml" Id="anysvml" /></Relationships>
</file>

<file path=xl/worksheets/_rels/sheet37.xml.rels><Relationships xmlns="http://schemas.openxmlformats.org/package/2006/relationships"><Relationship Type="http://schemas.openxmlformats.org/officeDocument/2006/relationships/comments" Target="/xl/comments/comment36.xml" Id="comments" /><Relationship Type="http://schemas.openxmlformats.org/officeDocument/2006/relationships/vmlDrawing" Target="/xl/drawings/commentsDrawing36.vml" Id="anysvml" /></Relationships>
</file>

<file path=xl/worksheets/_rels/sheet38.xml.rels><Relationships xmlns="http://schemas.openxmlformats.org/package/2006/relationships"><Relationship Type="http://schemas.openxmlformats.org/officeDocument/2006/relationships/comments" Target="/xl/comments/comment37.xml" Id="comments" /><Relationship Type="http://schemas.openxmlformats.org/officeDocument/2006/relationships/vmlDrawing" Target="/xl/drawings/commentsDrawing37.vml" Id="anysvml" /></Relationships>
</file>

<file path=xl/worksheets/_rels/sheet39.xml.rels><Relationships xmlns="http://schemas.openxmlformats.org/package/2006/relationships"><Relationship Type="http://schemas.openxmlformats.org/officeDocument/2006/relationships/comments" Target="/xl/comments/comment38.xml" Id="comments" /><Relationship Type="http://schemas.openxmlformats.org/officeDocument/2006/relationships/vmlDrawing" Target="/xl/drawings/commentsDrawing38.vml" Id="anysvml" /></Relationships>
</file>

<file path=xl/worksheets/_rels/sheet40.xml.rels><Relationships xmlns="http://schemas.openxmlformats.org/package/2006/relationships"><Relationship Type="http://schemas.openxmlformats.org/officeDocument/2006/relationships/comments" Target="/xl/comments/comment39.xml" Id="comments" /><Relationship Type="http://schemas.openxmlformats.org/officeDocument/2006/relationships/vmlDrawing" Target="/xl/drawings/commentsDrawing39.vml" Id="anysvml" /></Relationships>
</file>

<file path=xl/worksheets/_rels/sheet41.xml.rels><Relationships xmlns="http://schemas.openxmlformats.org/package/2006/relationships"><Relationship Type="http://schemas.openxmlformats.org/officeDocument/2006/relationships/comments" Target="/xl/comments/comment40.xml" Id="comments" /><Relationship Type="http://schemas.openxmlformats.org/officeDocument/2006/relationships/vmlDrawing" Target="/xl/drawings/commentsDrawing40.vml" Id="anysvml" /></Relationships>
</file>

<file path=xl/worksheets/_rels/sheet42.xml.rels><Relationships xmlns="http://schemas.openxmlformats.org/package/2006/relationships"><Relationship Type="http://schemas.openxmlformats.org/officeDocument/2006/relationships/comments" Target="/xl/comments/comment41.xml" Id="comments" /><Relationship Type="http://schemas.openxmlformats.org/officeDocument/2006/relationships/vmlDrawing" Target="/xl/drawings/commentsDrawing41.vml" Id="anysvml" /></Relationships>
</file>

<file path=xl/worksheets/_rels/sheet43.xml.rels><Relationships xmlns="http://schemas.openxmlformats.org/package/2006/relationships"><Relationship Type="http://schemas.openxmlformats.org/officeDocument/2006/relationships/comments" Target="/xl/comments/comment42.xml" Id="comments" /><Relationship Type="http://schemas.openxmlformats.org/officeDocument/2006/relationships/vmlDrawing" Target="/xl/drawings/commentsDrawing42.vml" Id="anysvml" /></Relationships>
</file>

<file path=xl/worksheets/_rels/sheet44.xml.rels><Relationships xmlns="http://schemas.openxmlformats.org/package/2006/relationships"><Relationship Type="http://schemas.openxmlformats.org/officeDocument/2006/relationships/comments" Target="/xl/comments/comment43.xml" Id="comments" /><Relationship Type="http://schemas.openxmlformats.org/officeDocument/2006/relationships/vmlDrawing" Target="/xl/drawings/commentsDrawing43.vml" Id="anysvml" /></Relationships>
</file>

<file path=xl/worksheets/_rels/sheet45.xml.rels><Relationships xmlns="http://schemas.openxmlformats.org/package/2006/relationships"><Relationship Type="http://schemas.openxmlformats.org/officeDocument/2006/relationships/comments" Target="/xl/comments/comment44.xml" Id="comments" /><Relationship Type="http://schemas.openxmlformats.org/officeDocument/2006/relationships/vmlDrawing" Target="/xl/drawings/commentsDrawing44.vml" Id="anysvml" /></Relationships>
</file>

<file path=xl/worksheets/_rels/sheet46.xml.rels><Relationships xmlns="http://schemas.openxmlformats.org/package/2006/relationships"><Relationship Type="http://schemas.openxmlformats.org/officeDocument/2006/relationships/comments" Target="/xl/comments/comment45.xml" Id="comments" /><Relationship Type="http://schemas.openxmlformats.org/officeDocument/2006/relationships/vmlDrawing" Target="/xl/drawings/commentsDrawing45.vml" Id="anysvml" /></Relationships>
</file>

<file path=xl/worksheets/_rels/sheet47.xml.rels><Relationships xmlns="http://schemas.openxmlformats.org/package/2006/relationships"><Relationship Type="http://schemas.openxmlformats.org/officeDocument/2006/relationships/comments" Target="/xl/comments/comment46.xml" Id="comments" /><Relationship Type="http://schemas.openxmlformats.org/officeDocument/2006/relationships/vmlDrawing" Target="/xl/drawings/commentsDrawing46.vml" Id="anysvml" /></Relationships>
</file>

<file path=xl/worksheets/_rels/sheet48.xml.rels><Relationships xmlns="http://schemas.openxmlformats.org/package/2006/relationships"><Relationship Type="http://schemas.openxmlformats.org/officeDocument/2006/relationships/comments" Target="/xl/comments/comment47.xml" Id="comments" /><Relationship Type="http://schemas.openxmlformats.org/officeDocument/2006/relationships/vmlDrawing" Target="/xl/drawings/commentsDrawing47.vml" Id="anysvml" /></Relationships>
</file>

<file path=xl/worksheets/_rels/sheet49.xml.rels><Relationships xmlns="http://schemas.openxmlformats.org/package/2006/relationships"><Relationship Type="http://schemas.openxmlformats.org/officeDocument/2006/relationships/comments" Target="/xl/comments/comment48.xml" Id="comments" /><Relationship Type="http://schemas.openxmlformats.org/officeDocument/2006/relationships/vmlDrawing" Target="/xl/drawings/commentsDrawing48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0.xml.rels><Relationships xmlns="http://schemas.openxmlformats.org/package/2006/relationships"><Relationship Type="http://schemas.openxmlformats.org/officeDocument/2006/relationships/comments" Target="/xl/comments/comment49.xml" Id="comments" /><Relationship Type="http://schemas.openxmlformats.org/officeDocument/2006/relationships/vmlDrawing" Target="/xl/drawings/commentsDrawing49.vml" Id="anysvml" /></Relationships>
</file>

<file path=xl/worksheets/_rels/sheet51.xml.rels><Relationships xmlns="http://schemas.openxmlformats.org/package/2006/relationships"><Relationship Type="http://schemas.openxmlformats.org/officeDocument/2006/relationships/comments" Target="/xl/comments/comment50.xml" Id="comments" /><Relationship Type="http://schemas.openxmlformats.org/officeDocument/2006/relationships/vmlDrawing" Target="/xl/drawings/commentsDrawing50.vml" Id="anysvml" /></Relationships>
</file>

<file path=xl/worksheets/_rels/sheet52.xml.rels><Relationships xmlns="http://schemas.openxmlformats.org/package/2006/relationships"><Relationship Type="http://schemas.openxmlformats.org/officeDocument/2006/relationships/comments" Target="/xl/comments/comment51.xml" Id="comments" /><Relationship Type="http://schemas.openxmlformats.org/officeDocument/2006/relationships/vmlDrawing" Target="/xl/drawings/commentsDrawing51.vml" Id="anysvml" /></Relationships>
</file>

<file path=xl/worksheets/_rels/sheet53.xml.rels><Relationships xmlns="http://schemas.openxmlformats.org/package/2006/relationships"><Relationship Type="http://schemas.openxmlformats.org/officeDocument/2006/relationships/comments" Target="/xl/comments/comment52.xml" Id="comments" /><Relationship Type="http://schemas.openxmlformats.org/officeDocument/2006/relationships/vmlDrawing" Target="/xl/drawings/commentsDrawing52.vml" Id="anysvml" /></Relationships>
</file>

<file path=xl/worksheets/_rels/sheet54.xml.rels><Relationships xmlns="http://schemas.openxmlformats.org/package/2006/relationships"><Relationship Type="http://schemas.openxmlformats.org/officeDocument/2006/relationships/comments" Target="/xl/comments/comment53.xml" Id="comments" /><Relationship Type="http://schemas.openxmlformats.org/officeDocument/2006/relationships/vmlDrawing" Target="/xl/drawings/commentsDrawing53.vml" Id="anysvml" /></Relationships>
</file>

<file path=xl/worksheets/_rels/sheet55.xml.rels><Relationships xmlns="http://schemas.openxmlformats.org/package/2006/relationships"><Relationship Type="http://schemas.openxmlformats.org/officeDocument/2006/relationships/comments" Target="/xl/comments/comment54.xml" Id="comments" /><Relationship Type="http://schemas.openxmlformats.org/officeDocument/2006/relationships/vmlDrawing" Target="/xl/drawings/commentsDrawing54.vml" Id="anysvml" /></Relationships>
</file>

<file path=xl/worksheets/_rels/sheet56.xml.rels><Relationships xmlns="http://schemas.openxmlformats.org/package/2006/relationships"><Relationship Type="http://schemas.openxmlformats.org/officeDocument/2006/relationships/comments" Target="/xl/comments/comment55.xml" Id="comments" /><Relationship Type="http://schemas.openxmlformats.org/officeDocument/2006/relationships/vmlDrawing" Target="/xl/drawings/commentsDrawing55.vml" Id="anysvml" /></Relationships>
</file>

<file path=xl/worksheets/_rels/sheet57.xml.rels><Relationships xmlns="http://schemas.openxmlformats.org/package/2006/relationships"><Relationship Type="http://schemas.openxmlformats.org/officeDocument/2006/relationships/comments" Target="/xl/comments/comment56.xml" Id="comments" /><Relationship Type="http://schemas.openxmlformats.org/officeDocument/2006/relationships/vmlDrawing" Target="/xl/drawings/commentsDrawing56.vml" Id="anysvml" /></Relationships>
</file>

<file path=xl/worksheets/_rels/sheet58.xml.rels><Relationships xmlns="http://schemas.openxmlformats.org/package/2006/relationships"><Relationship Type="http://schemas.openxmlformats.org/officeDocument/2006/relationships/comments" Target="/xl/comments/comment57.xml" Id="comments" /><Relationship Type="http://schemas.openxmlformats.org/officeDocument/2006/relationships/vmlDrawing" Target="/xl/drawings/commentsDrawing57.vml" Id="anysvml" /></Relationships>
</file>

<file path=xl/worksheets/_rels/sheet59.xml.rels><Relationships xmlns="http://schemas.openxmlformats.org/package/2006/relationships"><Relationship Type="http://schemas.openxmlformats.org/officeDocument/2006/relationships/comments" Target="/xl/comments/comment58.xml" Id="comments" /><Relationship Type="http://schemas.openxmlformats.org/officeDocument/2006/relationships/vmlDrawing" Target="/xl/drawings/commentsDrawing58.vml" Id="anysvml" 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_rels/sheet60.xml.rels><Relationships xmlns="http://schemas.openxmlformats.org/package/2006/relationships"><Relationship Type="http://schemas.openxmlformats.org/officeDocument/2006/relationships/comments" Target="/xl/comments/comment59.xml" Id="comments" /><Relationship Type="http://schemas.openxmlformats.org/officeDocument/2006/relationships/vmlDrawing" Target="/xl/drawings/commentsDrawing59.vml" Id="anysvml" /></Relationships>
</file>

<file path=xl/worksheets/_rels/sheet61.xml.rels><Relationships xmlns="http://schemas.openxmlformats.org/package/2006/relationships"><Relationship Type="http://schemas.openxmlformats.org/officeDocument/2006/relationships/comments" Target="/xl/comments/comment60.xml" Id="comments" /><Relationship Type="http://schemas.openxmlformats.org/officeDocument/2006/relationships/vmlDrawing" Target="/xl/drawings/commentsDrawing60.vml" Id="anysvml" /></Relationships>
</file>

<file path=xl/worksheets/_rels/sheet62.xml.rels><Relationships xmlns="http://schemas.openxmlformats.org/package/2006/relationships"><Relationship Type="http://schemas.openxmlformats.org/officeDocument/2006/relationships/comments" Target="/xl/comments/comment61.xml" Id="comments" /><Relationship Type="http://schemas.openxmlformats.org/officeDocument/2006/relationships/vmlDrawing" Target="/xl/drawings/commentsDrawing61.vml" Id="anysvml" /></Relationships>
</file>

<file path=xl/worksheets/_rels/sheet63.xml.rels><Relationships xmlns="http://schemas.openxmlformats.org/package/2006/relationships"><Relationship Type="http://schemas.openxmlformats.org/officeDocument/2006/relationships/comments" Target="/xl/comments/comment62.xml" Id="comments" /><Relationship Type="http://schemas.openxmlformats.org/officeDocument/2006/relationships/vmlDrawing" Target="/xl/drawings/commentsDrawing62.vml" Id="anysvml" /></Relationships>
</file>

<file path=xl/worksheets/_rels/sheet64.xml.rels><Relationships xmlns="http://schemas.openxmlformats.org/package/2006/relationships"><Relationship Type="http://schemas.openxmlformats.org/officeDocument/2006/relationships/comments" Target="/xl/comments/comment63.xml" Id="comments" /><Relationship Type="http://schemas.openxmlformats.org/officeDocument/2006/relationships/vmlDrawing" Target="/xl/drawings/commentsDrawing63.vml" Id="anysvml" /></Relationships>
</file>

<file path=xl/worksheets/_rels/sheet65.xml.rels><Relationships xmlns="http://schemas.openxmlformats.org/package/2006/relationships"><Relationship Type="http://schemas.openxmlformats.org/officeDocument/2006/relationships/comments" Target="/xl/comments/comment64.xml" Id="comments" /><Relationship Type="http://schemas.openxmlformats.org/officeDocument/2006/relationships/vmlDrawing" Target="/xl/drawings/commentsDrawing64.vml" Id="anysvml" /></Relationships>
</file>

<file path=xl/worksheets/_rels/sheet66.xml.rels><Relationships xmlns="http://schemas.openxmlformats.org/package/2006/relationships"><Relationship Type="http://schemas.openxmlformats.org/officeDocument/2006/relationships/comments" Target="/xl/comments/comment65.xml" Id="comments" /><Relationship Type="http://schemas.openxmlformats.org/officeDocument/2006/relationships/vmlDrawing" Target="/xl/drawings/commentsDrawing65.vml" Id="anysvml" /></Relationships>
</file>

<file path=xl/worksheets/_rels/sheet67.xml.rels><Relationships xmlns="http://schemas.openxmlformats.org/package/2006/relationships"><Relationship Type="http://schemas.openxmlformats.org/officeDocument/2006/relationships/comments" Target="/xl/comments/comment66.xml" Id="comments" /><Relationship Type="http://schemas.openxmlformats.org/officeDocument/2006/relationships/vmlDrawing" Target="/xl/drawings/commentsDrawing66.vml" Id="anysvml" /></Relationships>
</file>

<file path=xl/worksheets/_rels/sheet68.xml.rels><Relationships xmlns="http://schemas.openxmlformats.org/package/2006/relationships"><Relationship Type="http://schemas.openxmlformats.org/officeDocument/2006/relationships/comments" Target="/xl/comments/comment67.xml" Id="comments" /><Relationship Type="http://schemas.openxmlformats.org/officeDocument/2006/relationships/vmlDrawing" Target="/xl/drawings/commentsDrawing67.vml" Id="anysvml" /></Relationships>
</file>

<file path=xl/worksheets/_rels/sheet69.xml.rels><Relationships xmlns="http://schemas.openxmlformats.org/package/2006/relationships"><Relationship Type="http://schemas.openxmlformats.org/officeDocument/2006/relationships/comments" Target="/xl/comments/comment68.xml" Id="comments" /><Relationship Type="http://schemas.openxmlformats.org/officeDocument/2006/relationships/vmlDrawing" Target="/xl/drawings/commentsDrawing68.vml" Id="anysvml" /></Relationships>
</file>

<file path=xl/worksheets/_rels/sheet7.xml.rels><Relationships xmlns="http://schemas.openxmlformats.org/package/2006/relationships"><Relationship Type="http://schemas.openxmlformats.org/officeDocument/2006/relationships/comments" Target="/xl/comments/comment6.xml" Id="comments" /><Relationship Type="http://schemas.openxmlformats.org/officeDocument/2006/relationships/vmlDrawing" Target="/xl/drawings/commentsDrawing6.vml" Id="anysvml" /></Relationships>
</file>

<file path=xl/worksheets/_rels/sheet70.xml.rels><Relationships xmlns="http://schemas.openxmlformats.org/package/2006/relationships"><Relationship Type="http://schemas.openxmlformats.org/officeDocument/2006/relationships/comments" Target="/xl/comments/comment69.xml" Id="comments" /><Relationship Type="http://schemas.openxmlformats.org/officeDocument/2006/relationships/vmlDrawing" Target="/xl/drawings/commentsDrawing69.vml" Id="anysvml" /></Relationships>
</file>

<file path=xl/worksheets/_rels/sheet71.xml.rels><Relationships xmlns="http://schemas.openxmlformats.org/package/2006/relationships"><Relationship Type="http://schemas.openxmlformats.org/officeDocument/2006/relationships/comments" Target="/xl/comments/comment70.xml" Id="comments" /><Relationship Type="http://schemas.openxmlformats.org/officeDocument/2006/relationships/vmlDrawing" Target="/xl/drawings/commentsDrawing70.vml" Id="anysvml" /></Relationships>
</file>

<file path=xl/worksheets/_rels/sheet72.xml.rels><Relationships xmlns="http://schemas.openxmlformats.org/package/2006/relationships"><Relationship Type="http://schemas.openxmlformats.org/officeDocument/2006/relationships/comments" Target="/xl/comments/comment71.xml" Id="comments" /><Relationship Type="http://schemas.openxmlformats.org/officeDocument/2006/relationships/vmlDrawing" Target="/xl/drawings/commentsDrawing71.vml" Id="anysvml" /></Relationships>
</file>

<file path=xl/worksheets/_rels/sheet73.xml.rels><Relationships xmlns="http://schemas.openxmlformats.org/package/2006/relationships"><Relationship Type="http://schemas.openxmlformats.org/officeDocument/2006/relationships/comments" Target="/xl/comments/comment72.xml" Id="comments" /><Relationship Type="http://schemas.openxmlformats.org/officeDocument/2006/relationships/vmlDrawing" Target="/xl/drawings/commentsDrawing72.vml" Id="anysvml" /></Relationships>
</file>

<file path=xl/worksheets/_rels/sheet74.xml.rels><Relationships xmlns="http://schemas.openxmlformats.org/package/2006/relationships"><Relationship Type="http://schemas.openxmlformats.org/officeDocument/2006/relationships/comments" Target="/xl/comments/comment73.xml" Id="comments" /><Relationship Type="http://schemas.openxmlformats.org/officeDocument/2006/relationships/vmlDrawing" Target="/xl/drawings/commentsDrawing73.vml" Id="anysvml" /></Relationships>
</file>

<file path=xl/worksheets/_rels/sheet75.xml.rels><Relationships xmlns="http://schemas.openxmlformats.org/package/2006/relationships"><Relationship Type="http://schemas.openxmlformats.org/officeDocument/2006/relationships/comments" Target="/xl/comments/comment74.xml" Id="comments" /><Relationship Type="http://schemas.openxmlformats.org/officeDocument/2006/relationships/vmlDrawing" Target="/xl/drawings/commentsDrawing74.vml" Id="anysvml" /></Relationships>
</file>

<file path=xl/worksheets/_rels/sheet76.xml.rels><Relationships xmlns="http://schemas.openxmlformats.org/package/2006/relationships"><Relationship Type="http://schemas.openxmlformats.org/officeDocument/2006/relationships/comments" Target="/xl/comments/comment75.xml" Id="comments" /><Relationship Type="http://schemas.openxmlformats.org/officeDocument/2006/relationships/vmlDrawing" Target="/xl/drawings/commentsDrawing75.vml" Id="anysvml" /></Relationships>
</file>

<file path=xl/worksheets/_rels/sheet77.xml.rels><Relationships xmlns="http://schemas.openxmlformats.org/package/2006/relationships"><Relationship Type="http://schemas.openxmlformats.org/officeDocument/2006/relationships/comments" Target="/xl/comments/comment76.xml" Id="comments" /><Relationship Type="http://schemas.openxmlformats.org/officeDocument/2006/relationships/vmlDrawing" Target="/xl/drawings/commentsDrawing76.vml" Id="anysvml" /></Relationships>
</file>

<file path=xl/worksheets/_rels/sheet78.xml.rels><Relationships xmlns="http://schemas.openxmlformats.org/package/2006/relationships"><Relationship Type="http://schemas.openxmlformats.org/officeDocument/2006/relationships/comments" Target="/xl/comments/comment77.xml" Id="comments" /><Relationship Type="http://schemas.openxmlformats.org/officeDocument/2006/relationships/vmlDrawing" Target="/xl/drawings/commentsDrawing77.vml" Id="anysvml" /></Relationships>
</file>

<file path=xl/worksheets/_rels/sheet79.xml.rels><Relationships xmlns="http://schemas.openxmlformats.org/package/2006/relationships"><Relationship Type="http://schemas.openxmlformats.org/officeDocument/2006/relationships/comments" Target="/xl/comments/comment78.xml" Id="comments" /><Relationship Type="http://schemas.openxmlformats.org/officeDocument/2006/relationships/vmlDrawing" Target="/xl/drawings/commentsDrawing78.vml" Id="anysvml" /></Relationships>
</file>

<file path=xl/worksheets/_rels/sheet8.xml.rels><Relationships xmlns="http://schemas.openxmlformats.org/package/2006/relationships"><Relationship Type="http://schemas.openxmlformats.org/officeDocument/2006/relationships/comments" Target="/xl/comments/comment7.xml" Id="comments" /><Relationship Type="http://schemas.openxmlformats.org/officeDocument/2006/relationships/vmlDrawing" Target="/xl/drawings/commentsDrawing7.vml" Id="anysvml" /></Relationships>
</file>

<file path=xl/worksheets/_rels/sheet80.xml.rels><Relationships xmlns="http://schemas.openxmlformats.org/package/2006/relationships"><Relationship Type="http://schemas.openxmlformats.org/officeDocument/2006/relationships/comments" Target="/xl/comments/comment79.xml" Id="comments" /><Relationship Type="http://schemas.openxmlformats.org/officeDocument/2006/relationships/vmlDrawing" Target="/xl/drawings/commentsDrawing79.vml" Id="anysvml" /></Relationships>
</file>

<file path=xl/worksheets/_rels/sheet81.xml.rels><Relationships xmlns="http://schemas.openxmlformats.org/package/2006/relationships"><Relationship Type="http://schemas.openxmlformats.org/officeDocument/2006/relationships/comments" Target="/xl/comments/comment80.xml" Id="comments" /><Relationship Type="http://schemas.openxmlformats.org/officeDocument/2006/relationships/vmlDrawing" Target="/xl/drawings/commentsDrawing80.vml" Id="anysvml" /></Relationships>
</file>

<file path=xl/worksheets/_rels/sheet82.xml.rels><Relationships xmlns="http://schemas.openxmlformats.org/package/2006/relationships"><Relationship Type="http://schemas.openxmlformats.org/officeDocument/2006/relationships/comments" Target="/xl/comments/comment81.xml" Id="comments" /><Relationship Type="http://schemas.openxmlformats.org/officeDocument/2006/relationships/vmlDrawing" Target="/xl/drawings/commentsDrawing81.vml" Id="anysvml" /></Relationships>
</file>

<file path=xl/worksheets/_rels/sheet83.xml.rels><Relationships xmlns="http://schemas.openxmlformats.org/package/2006/relationships"><Relationship Type="http://schemas.openxmlformats.org/officeDocument/2006/relationships/comments" Target="/xl/comments/comment82.xml" Id="comments" /><Relationship Type="http://schemas.openxmlformats.org/officeDocument/2006/relationships/vmlDrawing" Target="/xl/drawings/commentsDrawing82.vml" Id="anysvml" /></Relationships>
</file>

<file path=xl/worksheets/_rels/sheet84.xml.rels><Relationships xmlns="http://schemas.openxmlformats.org/package/2006/relationships"><Relationship Type="http://schemas.openxmlformats.org/officeDocument/2006/relationships/comments" Target="/xl/comments/comment83.xml" Id="comments" /><Relationship Type="http://schemas.openxmlformats.org/officeDocument/2006/relationships/vmlDrawing" Target="/xl/drawings/commentsDrawing83.vml" Id="anysvml" /></Relationships>
</file>

<file path=xl/worksheets/_rels/sheet85.xml.rels><Relationships xmlns="http://schemas.openxmlformats.org/package/2006/relationships"><Relationship Type="http://schemas.openxmlformats.org/officeDocument/2006/relationships/comments" Target="/xl/comments/comment84.xml" Id="comments" /><Relationship Type="http://schemas.openxmlformats.org/officeDocument/2006/relationships/vmlDrawing" Target="/xl/drawings/commentsDrawing84.vml" Id="anysvml" /></Relationships>
</file>

<file path=xl/worksheets/_rels/sheet86.xml.rels><Relationships xmlns="http://schemas.openxmlformats.org/package/2006/relationships"><Relationship Type="http://schemas.openxmlformats.org/officeDocument/2006/relationships/comments" Target="/xl/comments/comment85.xml" Id="comments" /><Relationship Type="http://schemas.openxmlformats.org/officeDocument/2006/relationships/vmlDrawing" Target="/xl/drawings/commentsDrawing85.vml" Id="anysvml" /></Relationships>
</file>

<file path=xl/worksheets/_rels/sheet87.xml.rels><Relationships xmlns="http://schemas.openxmlformats.org/package/2006/relationships"><Relationship Type="http://schemas.openxmlformats.org/officeDocument/2006/relationships/comments" Target="/xl/comments/comment86.xml" Id="comments" /><Relationship Type="http://schemas.openxmlformats.org/officeDocument/2006/relationships/vmlDrawing" Target="/xl/drawings/commentsDrawing86.vml" Id="anysvml" /></Relationships>
</file>

<file path=xl/worksheets/_rels/sheet88.xml.rels><Relationships xmlns="http://schemas.openxmlformats.org/package/2006/relationships"><Relationship Type="http://schemas.openxmlformats.org/officeDocument/2006/relationships/comments" Target="/xl/comments/comment87.xml" Id="comments" /><Relationship Type="http://schemas.openxmlformats.org/officeDocument/2006/relationships/vmlDrawing" Target="/xl/drawings/commentsDrawing87.vml" Id="anysvml" /></Relationships>
</file>

<file path=xl/worksheets/_rels/sheet89.xml.rels><Relationships xmlns="http://schemas.openxmlformats.org/package/2006/relationships"><Relationship Type="http://schemas.openxmlformats.org/officeDocument/2006/relationships/comments" Target="/xl/comments/comment88.xml" Id="comments" /><Relationship Type="http://schemas.openxmlformats.org/officeDocument/2006/relationships/vmlDrawing" Target="/xl/drawings/commentsDrawing88.vml" Id="anysvml" /></Relationships>
</file>

<file path=xl/worksheets/_rels/sheet9.xml.rels><Relationships xmlns="http://schemas.openxmlformats.org/package/2006/relationships"><Relationship Type="http://schemas.openxmlformats.org/officeDocument/2006/relationships/comments" Target="/xl/comments/comment8.xml" Id="comments" /><Relationship Type="http://schemas.openxmlformats.org/officeDocument/2006/relationships/vmlDrawing" Target="/xl/drawings/commentsDrawing8.vml" Id="anysvml" /></Relationships>
</file>

<file path=xl/worksheets/_rels/sheet90.xml.rels><Relationships xmlns="http://schemas.openxmlformats.org/package/2006/relationships"><Relationship Type="http://schemas.openxmlformats.org/officeDocument/2006/relationships/comments" Target="/xl/comments/comment89.xml" Id="comments" /><Relationship Type="http://schemas.openxmlformats.org/officeDocument/2006/relationships/vmlDrawing" Target="/xl/drawings/commentsDrawing89.vml" Id="anysvml" /></Relationships>
</file>

<file path=xl/worksheets/_rels/sheet91.xml.rels><Relationships xmlns="http://schemas.openxmlformats.org/package/2006/relationships"><Relationship Type="http://schemas.openxmlformats.org/officeDocument/2006/relationships/comments" Target="/xl/comments/comment90.xml" Id="comments" /><Relationship Type="http://schemas.openxmlformats.org/officeDocument/2006/relationships/vmlDrawing" Target="/xl/drawings/commentsDrawing90.vml" Id="anysvml" /></Relationships>
</file>

<file path=xl/worksheets/_rels/sheet92.xml.rels><Relationships xmlns="http://schemas.openxmlformats.org/package/2006/relationships"><Relationship Type="http://schemas.openxmlformats.org/officeDocument/2006/relationships/comments" Target="/xl/comments/comment91.xml" Id="comments" /><Relationship Type="http://schemas.openxmlformats.org/officeDocument/2006/relationships/vmlDrawing" Target="/xl/drawings/commentsDrawing91.vml" Id="anysvml" /></Relationships>
</file>

<file path=xl/worksheets/_rels/sheet93.xml.rels><Relationships xmlns="http://schemas.openxmlformats.org/package/2006/relationships"><Relationship Type="http://schemas.openxmlformats.org/officeDocument/2006/relationships/comments" Target="/xl/comments/comment92.xml" Id="comments" /><Relationship Type="http://schemas.openxmlformats.org/officeDocument/2006/relationships/vmlDrawing" Target="/xl/drawings/commentsDrawing92.vml" Id="anysvml" /></Relationships>
</file>

<file path=xl/worksheets/_rels/sheet94.xml.rels><Relationships xmlns="http://schemas.openxmlformats.org/package/2006/relationships"><Relationship Type="http://schemas.openxmlformats.org/officeDocument/2006/relationships/comments" Target="/xl/comments/comment93.xml" Id="comments" /><Relationship Type="http://schemas.openxmlformats.org/officeDocument/2006/relationships/vmlDrawing" Target="/xl/drawings/commentsDrawing93.vml" Id="anysvml" /></Relationships>
</file>

<file path=xl/worksheets/_rels/sheet95.xml.rels><Relationships xmlns="http://schemas.openxmlformats.org/package/2006/relationships"><Relationship Type="http://schemas.openxmlformats.org/officeDocument/2006/relationships/comments" Target="/xl/comments/comment94.xml" Id="comments" /><Relationship Type="http://schemas.openxmlformats.org/officeDocument/2006/relationships/vmlDrawing" Target="/xl/drawings/commentsDrawing94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5"/>
  <sheetViews>
    <sheetView workbookViewId="0">
      <selection activeCell="A1" sqref="A1"/>
    </sheetView>
  </sheetViews>
  <sheetFormatPr baseColWidth="8" defaultRowHeight="15"/>
  <cols>
    <col width="3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160" t="inlineStr">
        <is>
          <t>EXECUTIVE SUMMARY</t>
        </is>
      </c>
    </row>
    <row r="2">
      <c r="A2" s="161" t="inlineStr">
        <is>
          <t>Meiborg Companies, Inc.</t>
        </is>
      </c>
    </row>
    <row r="4">
      <c r="A4" s="1" t="inlineStr">
        <is>
          <t>Metric</t>
        </is>
      </c>
      <c r="B4" s="50" t="inlineStr">
        <is>
          <t>2022A</t>
        </is>
      </c>
      <c r="C4" s="50" t="inlineStr">
        <is>
          <t>2023A</t>
        </is>
      </c>
      <c r="D4" s="50" t="inlineStr">
        <is>
          <t>2024A</t>
        </is>
      </c>
      <c r="E4" s="50" t="inlineStr">
        <is>
          <t>2025A</t>
        </is>
      </c>
      <c r="F4" s="50" t="inlineStr">
        <is>
          <t>2025E</t>
        </is>
      </c>
      <c r="G4" s="50" t="inlineStr">
        <is>
          <t>2026E</t>
        </is>
      </c>
      <c r="H4" s="50" t="inlineStr">
        <is>
          <t>2027E</t>
        </is>
      </c>
    </row>
    <row r="6">
      <c r="A6" s="122" t="inlineStr">
        <is>
          <t>FINANCIAL HIGHLIGHTS</t>
        </is>
      </c>
    </row>
    <row r="7">
      <c r="A7" t="inlineStr">
        <is>
          <t>Revenue</t>
        </is>
      </c>
      <c r="B7" s="77">
        <f>'Income Statement'!B6</f>
        <v/>
      </c>
      <c r="C7" s="77">
        <f>'Income Statement'!C6</f>
        <v/>
      </c>
      <c r="D7" s="77">
        <f>'Income Statement'!D6</f>
        <v/>
      </c>
      <c r="E7" s="77">
        <f>'Income Statement'!E6</f>
        <v/>
      </c>
      <c r="F7" s="77">
        <f>'Income Statement'!F6</f>
        <v/>
      </c>
      <c r="G7" s="77">
        <f>'Income Statement'!G6</f>
        <v/>
      </c>
      <c r="H7" s="77">
        <f>'Income Statement'!H6</f>
        <v/>
      </c>
    </row>
    <row r="8">
      <c r="A8" t="inlineStr">
        <is>
          <t>Revenue Growth %</t>
        </is>
      </c>
      <c r="B8" s="4">
        <f>NA()</f>
        <v/>
      </c>
      <c r="C8" s="114">
        <f>IF(B7=0,0,(C7-B7)/B7)</f>
        <v/>
      </c>
      <c r="D8" s="114">
        <f>IF(C7=0,0,(D7-C7)/C7)</f>
        <v/>
      </c>
      <c r="E8" s="114">
        <f>IF(D7=0,0,(E7-D7)/D7)</f>
        <v/>
      </c>
      <c r="F8" s="114">
        <f>IF(E7=0,0,(F7-E7)/E7)</f>
        <v/>
      </c>
      <c r="G8" s="114">
        <f>IF(F7=0,0,(G7-F7)/F7)</f>
        <v/>
      </c>
      <c r="H8" s="114">
        <f>IF(G7=0,0,(H7-G7)/G7)</f>
        <v/>
      </c>
    </row>
    <row r="9">
      <c r="A9" t="inlineStr">
        <is>
          <t>Gross Profit</t>
        </is>
      </c>
      <c r="B9" s="77">
        <f>'Income Statement'!B10</f>
        <v/>
      </c>
      <c r="C9" s="77">
        <f>'Income Statement'!C10</f>
        <v/>
      </c>
      <c r="D9" s="77">
        <f>'Income Statement'!D10</f>
        <v/>
      </c>
      <c r="E9" s="77">
        <f>'Income Statement'!E10</f>
        <v/>
      </c>
      <c r="F9" s="77">
        <f>'Income Statement'!F10</f>
        <v/>
      </c>
      <c r="G9" s="77">
        <f>'Income Statement'!G10</f>
        <v/>
      </c>
      <c r="H9" s="77">
        <f>'Income Statement'!H10</f>
        <v/>
      </c>
    </row>
    <row r="10">
      <c r="A10" t="inlineStr">
        <is>
          <t>Gross Margin %</t>
        </is>
      </c>
      <c r="B10" s="114">
        <f>IF(B7=0,0,B9/B7)</f>
        <v/>
      </c>
      <c r="C10" s="114">
        <f>IF(C7=0,0,C9/C7)</f>
        <v/>
      </c>
      <c r="D10" s="114">
        <f>IF(D7=0,0,D9/D7)</f>
        <v/>
      </c>
      <c r="E10" s="114">
        <f>IF(E7=0,0,E9/E7)</f>
        <v/>
      </c>
      <c r="F10" s="114">
        <f>IF(F7=0,0,F9/F7)</f>
        <v/>
      </c>
      <c r="G10" s="114">
        <f>IF(G7=0,0,G9/G7)</f>
        <v/>
      </c>
      <c r="H10" s="114">
        <f>IF(H7=0,0,H9/H7)</f>
        <v/>
      </c>
    </row>
    <row r="11">
      <c r="A11" t="inlineStr">
        <is>
          <t>EBITDA</t>
        </is>
      </c>
      <c r="B11" s="77">
        <f>'Income Statement'!B14</f>
        <v/>
      </c>
      <c r="C11" s="77">
        <f>'Income Statement'!C14</f>
        <v/>
      </c>
      <c r="D11" s="77">
        <f>'Income Statement'!D14</f>
        <v/>
      </c>
      <c r="E11" s="77">
        <f>'Income Statement'!E14</f>
        <v/>
      </c>
      <c r="F11" s="77">
        <f>'Income Statement'!F14</f>
        <v/>
      </c>
      <c r="G11" s="77">
        <f>'Income Statement'!G14</f>
        <v/>
      </c>
      <c r="H11" s="77">
        <f>'Income Statement'!H14</f>
        <v/>
      </c>
    </row>
    <row r="12">
      <c r="A12" t="inlineStr">
        <is>
          <t>EBITDA Margin %</t>
        </is>
      </c>
      <c r="B12" s="114">
        <f>IF(B7=0,0,B11/B7)</f>
        <v/>
      </c>
      <c r="C12" s="114">
        <f>IF(C7=0,0,C11/C7)</f>
        <v/>
      </c>
      <c r="D12" s="114">
        <f>IF(D7=0,0,D11/D7)</f>
        <v/>
      </c>
      <c r="E12" s="114">
        <f>IF(E7=0,0,E11/E7)</f>
        <v/>
      </c>
      <c r="F12" s="114">
        <f>IF(F7=0,0,F11/F7)</f>
        <v/>
      </c>
      <c r="G12" s="114">
        <f>IF(G7=0,0,G11/G7)</f>
        <v/>
      </c>
      <c r="H12" s="114">
        <f>IF(H7=0,0,H11/H7)</f>
        <v/>
      </c>
    </row>
    <row r="13">
      <c r="A13" t="inlineStr">
        <is>
          <t>Net Income</t>
        </is>
      </c>
      <c r="B13" s="77">
        <f>'Income Statement'!B29</f>
        <v/>
      </c>
      <c r="C13" s="77">
        <f>'Income Statement'!C29</f>
        <v/>
      </c>
      <c r="D13" s="77">
        <f>'Income Statement'!D29</f>
        <v/>
      </c>
      <c r="E13" s="77">
        <f>'Income Statement'!E29</f>
        <v/>
      </c>
      <c r="F13" s="77">
        <f>'Income Statement'!F29</f>
        <v/>
      </c>
      <c r="G13" s="77">
        <f>'Income Statement'!G29</f>
        <v/>
      </c>
      <c r="H13" s="77">
        <f>'Income Statement'!H29</f>
        <v/>
      </c>
    </row>
    <row r="14">
      <c r="A14" t="inlineStr">
        <is>
          <t>Net Margin %</t>
        </is>
      </c>
      <c r="B14" s="114">
        <f>IF(B7=0,0,B13/B7)</f>
        <v/>
      </c>
      <c r="C14" s="114">
        <f>IF(C7=0,0,C13/C7)</f>
        <v/>
      </c>
      <c r="D14" s="114">
        <f>IF(D7=0,0,D13/D7)</f>
        <v/>
      </c>
      <c r="E14" s="114">
        <f>IF(E7=0,0,E13/E7)</f>
        <v/>
      </c>
      <c r="F14" s="114">
        <f>IF(F7=0,0,F13/F7)</f>
        <v/>
      </c>
      <c r="G14" s="114">
        <f>IF(G7=0,0,G13/G7)</f>
        <v/>
      </c>
      <c r="H14" s="114">
        <f>IF(H7=0,0,H13/H7)</f>
        <v/>
      </c>
    </row>
    <row r="17">
      <c r="A17" s="122" t="inlineStr">
        <is>
          <t>BALANCE SHEET HIGHLIGHTS</t>
        </is>
      </c>
    </row>
    <row r="18">
      <c r="A18" t="inlineStr">
        <is>
          <t>Total Assets</t>
        </is>
      </c>
      <c r="B18" s="77">
        <f>'Balance Sheet'!B28</f>
        <v/>
      </c>
      <c r="C18" s="77">
        <f>'Balance Sheet'!C28</f>
        <v/>
      </c>
      <c r="D18" s="77">
        <f>'Balance Sheet'!D28</f>
        <v/>
      </c>
      <c r="E18" s="77">
        <f>'Balance Sheet'!E28</f>
        <v/>
      </c>
      <c r="F18" s="77">
        <f>'Balance Sheet'!F28</f>
        <v/>
      </c>
      <c r="G18" s="77">
        <f>'Balance Sheet'!G28</f>
        <v/>
      </c>
      <c r="H18" s="77">
        <f>'Balance Sheet'!H28</f>
        <v/>
      </c>
    </row>
    <row r="19">
      <c r="A19" t="inlineStr">
        <is>
          <t>Cash</t>
        </is>
      </c>
      <c r="B19" s="77">
        <f>'Balance Sheet'!B7</f>
        <v/>
      </c>
      <c r="C19" s="77">
        <f>'Balance Sheet'!C7</f>
        <v/>
      </c>
      <c r="D19" s="77">
        <f>'Balance Sheet'!D7</f>
        <v/>
      </c>
      <c r="E19" s="77">
        <f>'Balance Sheet'!E7</f>
        <v/>
      </c>
      <c r="F19" s="77">
        <f>'Balance Sheet'!F7</f>
        <v/>
      </c>
      <c r="G19" s="77">
        <f>'Balance Sheet'!G7</f>
        <v/>
      </c>
      <c r="H19" s="77">
        <f>'Balance Sheet'!H7</f>
        <v/>
      </c>
    </row>
    <row r="20">
      <c r="A20" t="inlineStr">
        <is>
          <t>Total Debt</t>
        </is>
      </c>
      <c r="B20" s="77">
        <f>'Balance Sheet'!B33+'Balance Sheet'!B42</f>
        <v/>
      </c>
      <c r="C20" s="77">
        <f>'Balance Sheet'!C33+'Balance Sheet'!C42</f>
        <v/>
      </c>
      <c r="D20" s="77">
        <f>'Balance Sheet'!D33+'Balance Sheet'!D42</f>
        <v/>
      </c>
      <c r="E20" s="77">
        <f>'Balance Sheet'!E33+'Balance Sheet'!E42</f>
        <v/>
      </c>
      <c r="F20" s="77">
        <f>'Balance Sheet'!F33+'Balance Sheet'!F42</f>
        <v/>
      </c>
      <c r="G20" s="77">
        <f>'Balance Sheet'!G33+'Balance Sheet'!G42</f>
        <v/>
      </c>
      <c r="H20" s="77">
        <f>'Balance Sheet'!H33+'Balance Sheet'!H42</f>
        <v/>
      </c>
    </row>
    <row r="21">
      <c r="A21" t="inlineStr">
        <is>
          <t>Total Equity</t>
        </is>
      </c>
      <c r="B21" s="77">
        <f>'Balance Sheet'!B55</f>
        <v/>
      </c>
      <c r="C21" s="77">
        <f>'Balance Sheet'!C55</f>
        <v/>
      </c>
      <c r="D21" s="77">
        <f>'Balance Sheet'!D55</f>
        <v/>
      </c>
      <c r="E21" s="77">
        <f>'Balance Sheet'!E55</f>
        <v/>
      </c>
      <c r="F21" s="77">
        <f>'Balance Sheet'!F55</f>
        <v/>
      </c>
      <c r="G21" s="77">
        <f>'Balance Sheet'!G55</f>
        <v/>
      </c>
      <c r="H21" s="77">
        <f>'Balance Sheet'!H55</f>
        <v/>
      </c>
    </row>
    <row r="22">
      <c r="A22" t="inlineStr">
        <is>
          <t>Net Debt</t>
        </is>
      </c>
      <c r="B22" s="76">
        <f>B20-B19</f>
        <v/>
      </c>
      <c r="C22" s="76">
        <f>C20-C19</f>
        <v/>
      </c>
      <c r="D22" s="76">
        <f>D20-D19</f>
        <v/>
      </c>
      <c r="E22" s="76">
        <f>E20-E19</f>
        <v/>
      </c>
      <c r="F22" s="76">
        <f>F20-F19</f>
        <v/>
      </c>
      <c r="G22" s="76">
        <f>G20-G19</f>
        <v/>
      </c>
      <c r="H22" s="76">
        <f>H20-H19</f>
        <v/>
      </c>
    </row>
    <row r="23">
      <c r="A23" t="inlineStr">
        <is>
          <t>Working Capital</t>
        </is>
      </c>
      <c r="B23" s="77">
        <f>'Balance Sheet'!B13-'Balance Sheet'!B39</f>
        <v/>
      </c>
      <c r="C23" s="77">
        <f>'Balance Sheet'!C13-'Balance Sheet'!C39</f>
        <v/>
      </c>
      <c r="D23" s="77">
        <f>'Balance Sheet'!D13-'Balance Sheet'!D39</f>
        <v/>
      </c>
      <c r="E23" s="77">
        <f>'Balance Sheet'!E13-'Balance Sheet'!E39</f>
        <v/>
      </c>
      <c r="F23" s="77">
        <f>'Balance Sheet'!F13-'Balance Sheet'!F39</f>
        <v/>
      </c>
      <c r="G23" s="77">
        <f>'Balance Sheet'!G13-'Balance Sheet'!G39</f>
        <v/>
      </c>
      <c r="H23" s="77">
        <f>'Balance Sheet'!H13-'Balance Sheet'!H39</f>
        <v/>
      </c>
    </row>
    <row r="27">
      <c r="A27" s="122" t="inlineStr">
        <is>
          <t>KEY RATIOS</t>
        </is>
      </c>
    </row>
    <row r="28">
      <c r="A28" t="inlineStr">
        <is>
          <t>Current Ratio</t>
        </is>
      </c>
      <c r="B28" s="132">
        <f>IF('Balance Sheet'!B39=0,0,'Balance Sheet'!B13/'Balance Sheet'!B39)</f>
        <v/>
      </c>
      <c r="C28" s="132">
        <f>IF('Balance Sheet'!C39=0,0,'Balance Sheet'!C13/'Balance Sheet'!C39)</f>
        <v/>
      </c>
      <c r="D28" s="132">
        <f>IF('Balance Sheet'!D39=0,0,'Balance Sheet'!D13/'Balance Sheet'!D39)</f>
        <v/>
      </c>
      <c r="E28" s="132">
        <f>IF('Balance Sheet'!E39=0,0,'Balance Sheet'!E13/'Balance Sheet'!E39)</f>
        <v/>
      </c>
      <c r="F28" s="132">
        <f>IF('Balance Sheet'!F39=0,0,'Balance Sheet'!F13/'Balance Sheet'!F39)</f>
        <v/>
      </c>
      <c r="G28" s="132">
        <f>IF('Balance Sheet'!G39=0,0,'Balance Sheet'!G13/'Balance Sheet'!G39)</f>
        <v/>
      </c>
      <c r="H28" s="132">
        <f>IF('Balance Sheet'!H39=0,0,'Balance Sheet'!H13/'Balance Sheet'!H39)</f>
        <v/>
      </c>
    </row>
    <row r="29">
      <c r="A29" t="inlineStr">
        <is>
          <t>Debt / Equity</t>
        </is>
      </c>
      <c r="B29" s="131">
        <f>IF(B21=0,0,B20/B21)</f>
        <v/>
      </c>
      <c r="C29" s="131">
        <f>IF(C21=0,0,C20/C21)</f>
        <v/>
      </c>
      <c r="D29" s="131">
        <f>IF(D21=0,0,D20/D21)</f>
        <v/>
      </c>
      <c r="E29" s="131">
        <f>IF(E21=0,0,E20/E21)</f>
        <v/>
      </c>
      <c r="F29" s="131">
        <f>IF(F21=0,0,F20/F21)</f>
        <v/>
      </c>
      <c r="G29" s="131">
        <f>IF(G21=0,0,G20/G21)</f>
        <v/>
      </c>
      <c r="H29" s="131">
        <f>IF(H21=0,0,H20/H21)</f>
        <v/>
      </c>
    </row>
    <row r="30">
      <c r="A30" t="inlineStr">
        <is>
          <t>Debt / EBITDA</t>
        </is>
      </c>
      <c r="B30" s="131">
        <f>IF(B11=0,0,B20/B11)</f>
        <v/>
      </c>
      <c r="C30" s="131">
        <f>IF(C11=0,0,C20/C11)</f>
        <v/>
      </c>
      <c r="D30" s="131">
        <f>IF(D11=0,0,D20/D11)</f>
        <v/>
      </c>
      <c r="E30" s="131">
        <f>IF(E11=0,0,E20/E11)</f>
        <v/>
      </c>
      <c r="F30" s="131">
        <f>IF(F11=0,0,F20/F11)</f>
        <v/>
      </c>
      <c r="G30" s="131">
        <f>IF(G11=0,0,G20/G11)</f>
        <v/>
      </c>
      <c r="H30" s="131">
        <f>IF(H11=0,0,H20/H11)</f>
        <v/>
      </c>
    </row>
    <row r="31">
      <c r="A31" t="inlineStr">
        <is>
          <t>Net Debt / EBITDA</t>
        </is>
      </c>
      <c r="B31" s="131">
        <f>IF(B11=0,0,B22/B11)</f>
        <v/>
      </c>
      <c r="C31" s="131">
        <f>IF(C11=0,0,C22/C11)</f>
        <v/>
      </c>
      <c r="D31" s="131">
        <f>IF(D11=0,0,D22/D11)</f>
        <v/>
      </c>
      <c r="E31" s="131">
        <f>IF(E11=0,0,E22/E11)</f>
        <v/>
      </c>
      <c r="F31" s="131">
        <f>IF(F11=0,0,F22/F11)</f>
        <v/>
      </c>
      <c r="G31" s="131">
        <f>IF(G11=0,0,G22/G11)</f>
        <v/>
      </c>
      <c r="H31" s="131">
        <f>IF(H11=0,0,H22/H11)</f>
        <v/>
      </c>
    </row>
    <row r="32">
      <c r="A32" t="inlineStr">
        <is>
          <t>Interest Coverage</t>
        </is>
      </c>
      <c r="B32" s="132">
        <f>IF('Income Statement'!B21=0,0,B11/ABS('Income Statement'!B21))</f>
        <v/>
      </c>
      <c r="C32" s="132">
        <f>IF('Income Statement'!C21=0,0,C11/ABS('Income Statement'!C21))</f>
        <v/>
      </c>
      <c r="D32" s="132">
        <f>IF('Income Statement'!D21=0,0,D11/ABS('Income Statement'!D21))</f>
        <v/>
      </c>
      <c r="E32" s="132">
        <f>IF('Income Statement'!E21=0,0,E11/ABS('Income Statement'!E21))</f>
        <v/>
      </c>
      <c r="F32" s="132">
        <f>IF('Income Statement'!F21=0,0,F11/ABS('Income Statement'!F21))</f>
        <v/>
      </c>
      <c r="G32" s="132">
        <f>IF('Income Statement'!G21=0,0,G11/ABS('Income Statement'!G21))</f>
        <v/>
      </c>
      <c r="H32" s="132">
        <f>IF('Income Statement'!H21=0,0,H11/ABS('Income Statement'!H21))</f>
        <v/>
      </c>
    </row>
    <row r="33">
      <c r="A33" t="inlineStr">
        <is>
          <t>DSCR (Debt Service Coverage)</t>
        </is>
      </c>
      <c r="B33" s="131">
        <f>IF(12796164=0,0,B11/12796164)</f>
        <v/>
      </c>
      <c r="C33" s="131">
        <f>IF(12796164=0,0,C11/12796164)</f>
        <v/>
      </c>
      <c r="D33" s="131">
        <f>IF(12796164=0,0,D11/12796164)</f>
        <v/>
      </c>
      <c r="E33" s="131">
        <f>IF(12796164=0,0,E11/12796164)</f>
        <v/>
      </c>
      <c r="F33" s="131">
        <f>IF(12796164=0,0,F11/12796164)</f>
        <v/>
      </c>
      <c r="G33" s="131">
        <f>IF(12796164=0,0,G11/12796164)</f>
        <v/>
      </c>
      <c r="H33" s="131">
        <f>IF(12796164=0,0,H11/12796164)</f>
        <v/>
      </c>
    </row>
    <row r="37">
      <c r="A37" s="122" t="inlineStr">
        <is>
          <t>DEBT STRUCTURE</t>
        </is>
      </c>
    </row>
    <row r="38">
      <c r="A38" t="inlineStr">
        <is>
          <t>Total Outstanding Debt</t>
        </is>
      </c>
      <c r="B38">
        <f>NA()</f>
        <v/>
      </c>
      <c r="C38">
        <f>NA()</f>
        <v/>
      </c>
      <c r="D38">
        <f>NA()</f>
        <v/>
      </c>
      <c r="E38" s="77">
        <f>'Debt Schedule'!C171</f>
        <v/>
      </c>
      <c r="F38">
        <f>NA()</f>
        <v/>
      </c>
      <c r="G38">
        <f>NA()</f>
        <v/>
      </c>
      <c r="H38">
        <f>NA()</f>
        <v/>
      </c>
    </row>
    <row r="39">
      <c r="A39" t="inlineStr">
        <is>
          <t>Number of Lenders</t>
        </is>
      </c>
      <c r="B39">
        <f>NA()</f>
        <v/>
      </c>
      <c r="C39">
        <f>NA()</f>
        <v/>
      </c>
      <c r="D39">
        <f>NA()</f>
        <v/>
      </c>
      <c r="E39" s="162" t="n">
        <v>27</v>
      </c>
      <c r="F39">
        <f>NA()</f>
        <v/>
      </c>
      <c r="G39">
        <f>NA()</f>
        <v/>
      </c>
      <c r="H39">
        <f>NA()</f>
        <v/>
      </c>
    </row>
    <row r="40">
      <c r="A40" t="inlineStr">
        <is>
          <t>Number of Facilities</t>
        </is>
      </c>
      <c r="B40">
        <f>NA()</f>
        <v/>
      </c>
      <c r="C40">
        <f>NA()</f>
        <v/>
      </c>
      <c r="D40">
        <f>NA()</f>
        <v/>
      </c>
      <c r="E40" s="162" t="n">
        <v>84</v>
      </c>
      <c r="F40">
        <f>NA()</f>
        <v/>
      </c>
      <c r="G40">
        <f>NA()</f>
        <v/>
      </c>
      <c r="H40">
        <f>NA()</f>
        <v/>
      </c>
    </row>
    <row r="41">
      <c r="A41" t="inlineStr">
        <is>
          <t>Monthly Debt Service</t>
        </is>
      </c>
      <c r="B41">
        <f>NA()</f>
        <v/>
      </c>
      <c r="C41">
        <f>NA()</f>
        <v/>
      </c>
      <c r="D41">
        <f>NA()</f>
        <v/>
      </c>
      <c r="E41" s="5" t="n">
        <v>1066347</v>
      </c>
      <c r="F41">
        <f>NA()</f>
        <v/>
      </c>
      <c r="G41">
        <f>NA()</f>
        <v/>
      </c>
      <c r="H41">
        <f>NA()</f>
        <v/>
      </c>
    </row>
    <row r="42">
      <c r="A42" t="inlineStr">
        <is>
          <t>Annual Debt Service</t>
        </is>
      </c>
      <c r="B42">
        <f>NA()</f>
        <v/>
      </c>
      <c r="C42">
        <f>NA()</f>
        <v/>
      </c>
      <c r="D42">
        <f>NA()</f>
        <v/>
      </c>
      <c r="E42" s="5" t="n">
        <v>12796164</v>
      </c>
      <c r="F42">
        <f>NA()</f>
        <v/>
      </c>
      <c r="G42">
        <f>NA()</f>
        <v/>
      </c>
      <c r="H42">
        <f>NA()</f>
        <v/>
      </c>
    </row>
    <row r="43">
      <c r="A43" t="inlineStr">
        <is>
          <t>Weighted Avg Interest Rate</t>
        </is>
      </c>
      <c r="B43">
        <f>NA()</f>
        <v/>
      </c>
      <c r="C43">
        <f>NA()</f>
        <v/>
      </c>
      <c r="D43">
        <f>NA()</f>
        <v/>
      </c>
      <c r="E43" s="112">
        <f>IF('Debt Schedule'!C171=0,0,'Debt Schedule'!F171/'Debt Schedule'!C171)</f>
        <v/>
      </c>
      <c r="F43">
        <f>NA()</f>
        <v/>
      </c>
      <c r="G43">
        <f>NA()</f>
        <v/>
      </c>
      <c r="H43">
        <f>NA()</f>
        <v/>
      </c>
    </row>
    <row r="44">
      <c r="A44" t="inlineStr">
        <is>
          <t>Current Portion</t>
        </is>
      </c>
      <c r="B44">
        <f>NA()</f>
        <v/>
      </c>
      <c r="C44">
        <f>NA()</f>
        <v/>
      </c>
      <c r="D44">
        <f>NA()</f>
        <v/>
      </c>
      <c r="E44" s="77">
        <f>'Balance Sheet'!E33</f>
        <v/>
      </c>
      <c r="F44">
        <f>NA()</f>
        <v/>
      </c>
      <c r="G44">
        <f>NA()</f>
        <v/>
      </c>
      <c r="H44">
        <f>NA()</f>
        <v/>
      </c>
    </row>
    <row r="45">
      <c r="A45" t="inlineStr">
        <is>
          <t>Long-Term Portion</t>
        </is>
      </c>
      <c r="B45">
        <f>NA()</f>
        <v/>
      </c>
      <c r="C45">
        <f>NA()</f>
        <v/>
      </c>
      <c r="D45">
        <f>NA()</f>
        <v/>
      </c>
      <c r="E45" s="77">
        <f>'Balance Sheet'!E42</f>
        <v/>
      </c>
      <c r="F45">
        <f>NA()</f>
        <v/>
      </c>
      <c r="G45">
        <f>NA()</f>
        <v/>
      </c>
      <c r="H45">
        <f>NA()</f>
        <v/>
      </c>
    </row>
  </sheetData>
  <mergeCells count="6">
    <mergeCell ref="A2:H2"/>
    <mergeCell ref="A1:H1"/>
    <mergeCell ref="A37:H37"/>
    <mergeCell ref="A27:H27"/>
    <mergeCell ref="A6:H6"/>
    <mergeCell ref="A17:H17"/>
  </mergeCells>
  <pageMargins left="0.75" right="0.75" top="1" bottom="1" header="0.5" footer="0.5"/>
  <legacyDrawing xmlns:r="http://schemas.openxmlformats.org/officeDocument/2006/relationships" r:id="anysvml"/>
</worksheet>
</file>

<file path=xl/worksheets/sheet10.xml><?xml version="1.0" encoding="utf-8"?>
<worksheet xmlns="http://schemas.openxmlformats.org/spreadsheetml/2006/main">
  <sheetPr>
    <tabColor rgb="00808080"/>
    <outlinePr summaryBelow="1" summaryRight="1"/>
    <pageSetUpPr/>
  </sheetPr>
  <dimension ref="A1:F65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2" t="inlineStr">
        <is>
          <t>LOAN DETAILS</t>
        </is>
      </c>
      <c r="B1" s="3" t="n"/>
      <c r="C1" s="3" t="n"/>
      <c r="D1" s="3" t="n"/>
      <c r="E1" s="3" t="n"/>
      <c r="F1" s="3" t="n"/>
    </row>
    <row r="2">
      <c r="A2" t="inlineStr">
        <is>
          <t>Lender</t>
        </is>
      </c>
      <c r="B2" s="4" t="inlineStr">
        <is>
          <t>Webster Capital Finance</t>
        </is>
      </c>
    </row>
    <row r="3">
      <c r="A3" t="inlineStr">
        <is>
          <t>Loan ID</t>
        </is>
      </c>
      <c r="B3" s="4" t="inlineStr">
        <is>
          <t>05-2939-005-000-00</t>
        </is>
      </c>
    </row>
    <row r="4">
      <c r="A4" t="inlineStr">
        <is>
          <t>Description</t>
        </is>
      </c>
      <c r="B4" s="4" t="inlineStr">
        <is>
          <t>7 T680</t>
        </is>
      </c>
    </row>
    <row r="5">
      <c r="A5" t="inlineStr">
        <is>
          <t>Collateral</t>
        </is>
      </c>
      <c r="B5" s="4" t="inlineStr">
        <is>
          <t>Equipment - Semi Trucks</t>
        </is>
      </c>
    </row>
    <row r="6">
      <c r="A6" t="inlineStr">
        <is>
          <t>Current Balance</t>
        </is>
      </c>
      <c r="B6" s="5" t="n">
        <v>773274</v>
      </c>
    </row>
    <row r="7">
      <c r="A7" t="inlineStr">
        <is>
          <t>Annual Rate</t>
        </is>
      </c>
      <c r="B7" s="6" t="n">
        <v>0.0572</v>
      </c>
    </row>
    <row r="8">
      <c r="A8" t="inlineStr">
        <is>
          <t>Monthly Payment</t>
        </is>
      </c>
      <c r="B8" s="5" t="n">
        <v>15902</v>
      </c>
    </row>
    <row r="9">
      <c r="A9" t="inlineStr">
        <is>
          <t>Maturity Date</t>
        </is>
      </c>
      <c r="B9" s="17" t="n">
        <v>47116</v>
      </c>
    </row>
    <row r="10">
      <c r="A10" t="inlineStr">
        <is>
          <t>Loan Type</t>
        </is>
      </c>
      <c r="B10" s="4" t="inlineStr">
        <is>
          <t>AMORTIZING</t>
        </is>
      </c>
    </row>
    <row r="12">
      <c r="A12" s="8" t="inlineStr">
        <is>
          <t>AI ANALYSIS</t>
        </is>
      </c>
      <c r="B12" s="9" t="n"/>
      <c r="C12" s="9" t="n"/>
      <c r="D12" s="9" t="n"/>
      <c r="E12" s="9" t="n"/>
      <c r="F12" s="9" t="n"/>
    </row>
    <row r="13">
      <c r="A13" s="9" t="inlineStr">
        <is>
          <t>Loan Type:</t>
        </is>
      </c>
      <c r="B13" s="9" t="inlineStr">
        <is>
          <t>Standard amortizing equipment loan</t>
        </is>
      </c>
    </row>
    <row r="14">
      <c r="A14" s="9" t="inlineStr">
        <is>
          <t>Classification:</t>
        </is>
      </c>
      <c r="B14" s="9" t="inlineStr">
        <is>
          <t>Equipment - Semi Trucks</t>
        </is>
      </c>
    </row>
    <row r="15">
      <c r="A15" s="9" t="inlineStr">
        <is>
          <t>Amortization:</t>
        </is>
      </c>
      <c r="B15" s="9" t="inlineStr">
        <is>
          <t>Fully amortizing, fixed monthly payments</t>
        </is>
      </c>
    </row>
    <row r="16">
      <c r="A16" s="9" t="inlineStr">
        <is>
          <t>Source Doc:</t>
        </is>
      </c>
      <c r="B16" s="9" t="inlineStr">
        <is>
          <t>Meiborg_Debt_Schedule_202512.xlsx, loans.md</t>
        </is>
      </c>
    </row>
    <row r="17">
      <c r="A17" s="9" t="inlineStr">
        <is>
          <t>Months Remaining:</t>
        </is>
      </c>
      <c r="B17" s="9" t="n">
        <v>36</v>
      </c>
    </row>
    <row r="18">
      <c r="A18" s="9" t="inlineStr">
        <is>
          <t>Model Start:</t>
        </is>
      </c>
      <c r="B18" s="9" t="inlineStr">
        <is>
          <t>January 2026 (balance as of 12/31/2025)</t>
        </is>
      </c>
    </row>
    <row r="19">
      <c r="A19" s="9" t="n"/>
      <c r="B19" s="9" t="n"/>
      <c r="C19" s="9" t="n"/>
      <c r="D19" s="9" t="n"/>
      <c r="E19" s="9" t="n"/>
      <c r="F19" s="9" t="n"/>
    </row>
    <row r="20">
      <c r="A20" s="9" t="n"/>
      <c r="B20" s="9" t="n"/>
      <c r="C20" s="9" t="n"/>
      <c r="D20" s="9" t="n"/>
      <c r="E20" s="9" t="n"/>
      <c r="F20" s="9" t="n"/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11" t="n">
        <v>1</v>
      </c>
      <c r="B23" s="18" t="n">
        <v>46023</v>
      </c>
      <c r="C23" s="13">
        <f>$B$6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11" t="n">
        <v>2</v>
      </c>
      <c r="B24" s="18" t="n">
        <v>46054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11" t="n">
        <v>3</v>
      </c>
      <c r="B25" s="18" t="n">
        <v>46082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11" t="n">
        <v>4</v>
      </c>
      <c r="B26" s="18" t="n">
        <v>46113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11" t="n">
        <v>5</v>
      </c>
      <c r="B27" s="18" t="n">
        <v>46143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11" t="n">
        <v>6</v>
      </c>
      <c r="B28" s="18" t="n">
        <v>46174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11" t="n">
        <v>7</v>
      </c>
      <c r="B29" s="18" t="n">
        <v>46204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11" t="n">
        <v>8</v>
      </c>
      <c r="B30" s="18" t="n">
        <v>46235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11" t="n">
        <v>9</v>
      </c>
      <c r="B31" s="18" t="n">
        <v>46266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11" t="n">
        <v>10</v>
      </c>
      <c r="B32" s="18" t="n">
        <v>46296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11" t="n">
        <v>11</v>
      </c>
      <c r="B33" s="18" t="n">
        <v>46327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4">
      <c r="A34" s="11" t="n">
        <v>12</v>
      </c>
      <c r="B34" s="18" t="n">
        <v>46357</v>
      </c>
      <c r="C34" s="13">
        <f>F33</f>
        <v/>
      </c>
      <c r="D34" s="13">
        <f>MAX(0,C34*$B$7/12)</f>
        <v/>
      </c>
      <c r="E34" s="13">
        <f>MAX(0,MIN(C34,$B$8-D34))</f>
        <v/>
      </c>
      <c r="F34" s="13">
        <f>MAX(0,C34-E34)</f>
        <v/>
      </c>
    </row>
    <row r="35">
      <c r="A35" s="11" t="n">
        <v>13</v>
      </c>
      <c r="B35" s="18" t="n">
        <v>46388</v>
      </c>
      <c r="C35" s="13">
        <f>F34</f>
        <v/>
      </c>
      <c r="D35" s="13">
        <f>MAX(0,C35*$B$7/12)</f>
        <v/>
      </c>
      <c r="E35" s="13">
        <f>MAX(0,MIN(C35,$B$8-D35))</f>
        <v/>
      </c>
      <c r="F35" s="13">
        <f>MAX(0,C35-E35)</f>
        <v/>
      </c>
    </row>
    <row r="36">
      <c r="A36" s="11" t="n">
        <v>14</v>
      </c>
      <c r="B36" s="18" t="n">
        <v>46419</v>
      </c>
      <c r="C36" s="13">
        <f>F35</f>
        <v/>
      </c>
      <c r="D36" s="13">
        <f>MAX(0,C36*$B$7/12)</f>
        <v/>
      </c>
      <c r="E36" s="13">
        <f>MAX(0,MIN(C36,$B$8-D36))</f>
        <v/>
      </c>
      <c r="F36" s="13">
        <f>MAX(0,C36-E36)</f>
        <v/>
      </c>
    </row>
    <row r="37">
      <c r="A37" s="11" t="n">
        <v>15</v>
      </c>
      <c r="B37" s="18" t="n">
        <v>46447</v>
      </c>
      <c r="C37" s="13">
        <f>F36</f>
        <v/>
      </c>
      <c r="D37" s="13">
        <f>MAX(0,C37*$B$7/12)</f>
        <v/>
      </c>
      <c r="E37" s="13">
        <f>MAX(0,MIN(C37,$B$8-D37))</f>
        <v/>
      </c>
      <c r="F37" s="13">
        <f>MAX(0,C37-E37)</f>
        <v/>
      </c>
    </row>
    <row r="38">
      <c r="A38" s="11" t="n">
        <v>16</v>
      </c>
      <c r="B38" s="18" t="n">
        <v>46478</v>
      </c>
      <c r="C38" s="13">
        <f>F37</f>
        <v/>
      </c>
      <c r="D38" s="13">
        <f>MAX(0,C38*$B$7/12)</f>
        <v/>
      </c>
      <c r="E38" s="13">
        <f>MAX(0,MIN(C38,$B$8-D38))</f>
        <v/>
      </c>
      <c r="F38" s="13">
        <f>MAX(0,C38-E38)</f>
        <v/>
      </c>
    </row>
    <row r="39">
      <c r="A39" s="11" t="n">
        <v>17</v>
      </c>
      <c r="B39" s="18" t="n">
        <v>46508</v>
      </c>
      <c r="C39" s="13">
        <f>F38</f>
        <v/>
      </c>
      <c r="D39" s="13">
        <f>MAX(0,C39*$B$7/12)</f>
        <v/>
      </c>
      <c r="E39" s="13">
        <f>MAX(0,MIN(C39,$B$8-D39))</f>
        <v/>
      </c>
      <c r="F39" s="13">
        <f>MAX(0,C39-E39)</f>
        <v/>
      </c>
    </row>
    <row r="40">
      <c r="A40" s="11" t="n">
        <v>18</v>
      </c>
      <c r="B40" s="18" t="n">
        <v>46539</v>
      </c>
      <c r="C40" s="13">
        <f>F39</f>
        <v/>
      </c>
      <c r="D40" s="13">
        <f>MAX(0,C40*$B$7/12)</f>
        <v/>
      </c>
      <c r="E40" s="13">
        <f>MAX(0,MIN(C40,$B$8-D40))</f>
        <v/>
      </c>
      <c r="F40" s="13">
        <f>MAX(0,C40-E40)</f>
        <v/>
      </c>
    </row>
    <row r="41">
      <c r="A41" s="11" t="n">
        <v>19</v>
      </c>
      <c r="B41" s="18" t="n">
        <v>46569</v>
      </c>
      <c r="C41" s="13">
        <f>F40</f>
        <v/>
      </c>
      <c r="D41" s="13">
        <f>MAX(0,C41*$B$7/12)</f>
        <v/>
      </c>
      <c r="E41" s="13">
        <f>MAX(0,MIN(C41,$B$8-D41))</f>
        <v/>
      </c>
      <c r="F41" s="13">
        <f>MAX(0,C41-E41)</f>
        <v/>
      </c>
    </row>
    <row r="42">
      <c r="A42" s="11" t="n">
        <v>20</v>
      </c>
      <c r="B42" s="18" t="n">
        <v>46600</v>
      </c>
      <c r="C42" s="13">
        <f>F41</f>
        <v/>
      </c>
      <c r="D42" s="13">
        <f>MAX(0,C42*$B$7/12)</f>
        <v/>
      </c>
      <c r="E42" s="13">
        <f>MAX(0,MIN(C42,$B$8-D42))</f>
        <v/>
      </c>
      <c r="F42" s="13">
        <f>MAX(0,C42-E42)</f>
        <v/>
      </c>
    </row>
    <row r="43">
      <c r="A43" s="11" t="n">
        <v>21</v>
      </c>
      <c r="B43" s="18" t="n">
        <v>46631</v>
      </c>
      <c r="C43" s="13">
        <f>F42</f>
        <v/>
      </c>
      <c r="D43" s="13">
        <f>MAX(0,C43*$B$7/12)</f>
        <v/>
      </c>
      <c r="E43" s="13">
        <f>MAX(0,MIN(C43,$B$8-D43))</f>
        <v/>
      </c>
      <c r="F43" s="13">
        <f>MAX(0,C43-E43)</f>
        <v/>
      </c>
    </row>
    <row r="44">
      <c r="A44" s="11" t="n">
        <v>22</v>
      </c>
      <c r="B44" s="18" t="n">
        <v>46661</v>
      </c>
      <c r="C44" s="13">
        <f>F43</f>
        <v/>
      </c>
      <c r="D44" s="13">
        <f>MAX(0,C44*$B$7/12)</f>
        <v/>
      </c>
      <c r="E44" s="13">
        <f>MAX(0,MIN(C44,$B$8-D44))</f>
        <v/>
      </c>
      <c r="F44" s="13">
        <f>MAX(0,C44-E44)</f>
        <v/>
      </c>
    </row>
    <row r="45">
      <c r="A45" s="11" t="n">
        <v>23</v>
      </c>
      <c r="B45" s="18" t="n">
        <v>46692</v>
      </c>
      <c r="C45" s="13">
        <f>F44</f>
        <v/>
      </c>
      <c r="D45" s="13">
        <f>MAX(0,C45*$B$7/12)</f>
        <v/>
      </c>
      <c r="E45" s="13">
        <f>MAX(0,MIN(C45,$B$8-D45))</f>
        <v/>
      </c>
      <c r="F45" s="13">
        <f>MAX(0,C45-E45)</f>
        <v/>
      </c>
    </row>
    <row r="46">
      <c r="A46" s="11" t="n">
        <v>24</v>
      </c>
      <c r="B46" s="18" t="n">
        <v>46722</v>
      </c>
      <c r="C46" s="13">
        <f>F45</f>
        <v/>
      </c>
      <c r="D46" s="13">
        <f>MAX(0,C46*$B$7/12)</f>
        <v/>
      </c>
      <c r="E46" s="13">
        <f>MAX(0,MIN(C46,$B$8-D46))</f>
        <v/>
      </c>
      <c r="F46" s="13">
        <f>MAX(0,C46-E46)</f>
        <v/>
      </c>
    </row>
    <row r="47">
      <c r="A47" s="11" t="n">
        <v>25</v>
      </c>
      <c r="B47" s="18" t="n">
        <v>46753</v>
      </c>
      <c r="C47" s="13">
        <f>F46</f>
        <v/>
      </c>
      <c r="D47" s="13">
        <f>MAX(0,C47*$B$7/12)</f>
        <v/>
      </c>
      <c r="E47" s="13">
        <f>MAX(0,MIN(C47,$B$8-D47))</f>
        <v/>
      </c>
      <c r="F47" s="13">
        <f>MAX(0,C47-E47)</f>
        <v/>
      </c>
    </row>
    <row r="48">
      <c r="A48" s="11" t="n">
        <v>26</v>
      </c>
      <c r="B48" s="18" t="n">
        <v>46784</v>
      </c>
      <c r="C48" s="13">
        <f>F47</f>
        <v/>
      </c>
      <c r="D48" s="13">
        <f>MAX(0,C48*$B$7/12)</f>
        <v/>
      </c>
      <c r="E48" s="13">
        <f>MAX(0,MIN(C48,$B$8-D48))</f>
        <v/>
      </c>
      <c r="F48" s="13">
        <f>MAX(0,C48-E48)</f>
        <v/>
      </c>
    </row>
    <row r="49">
      <c r="A49" s="11" t="n">
        <v>27</v>
      </c>
      <c r="B49" s="18" t="n">
        <v>46813</v>
      </c>
      <c r="C49" s="13">
        <f>F48</f>
        <v/>
      </c>
      <c r="D49" s="13">
        <f>MAX(0,C49*$B$7/12)</f>
        <v/>
      </c>
      <c r="E49" s="13">
        <f>MAX(0,MIN(C49,$B$8-D49))</f>
        <v/>
      </c>
      <c r="F49" s="13">
        <f>MAX(0,C49-E49)</f>
        <v/>
      </c>
    </row>
    <row r="50">
      <c r="A50" s="11" t="n">
        <v>28</v>
      </c>
      <c r="B50" s="18" t="n">
        <v>46844</v>
      </c>
      <c r="C50" s="13">
        <f>F49</f>
        <v/>
      </c>
      <c r="D50" s="13">
        <f>MAX(0,C50*$B$7/12)</f>
        <v/>
      </c>
      <c r="E50" s="13">
        <f>MAX(0,MIN(C50,$B$8-D50))</f>
        <v/>
      </c>
      <c r="F50" s="13">
        <f>MAX(0,C50-E50)</f>
        <v/>
      </c>
    </row>
    <row r="51">
      <c r="A51" s="11" t="n">
        <v>29</v>
      </c>
      <c r="B51" s="18" t="n">
        <v>46874</v>
      </c>
      <c r="C51" s="13">
        <f>F50</f>
        <v/>
      </c>
      <c r="D51" s="13">
        <f>MAX(0,C51*$B$7/12)</f>
        <v/>
      </c>
      <c r="E51" s="13">
        <f>MAX(0,MIN(C51,$B$8-D51))</f>
        <v/>
      </c>
      <c r="F51" s="13">
        <f>MAX(0,C51-E51)</f>
        <v/>
      </c>
    </row>
    <row r="52">
      <c r="A52" s="11" t="n">
        <v>30</v>
      </c>
      <c r="B52" s="18" t="n">
        <v>46905</v>
      </c>
      <c r="C52" s="13">
        <f>F51</f>
        <v/>
      </c>
      <c r="D52" s="13">
        <f>MAX(0,C52*$B$7/12)</f>
        <v/>
      </c>
      <c r="E52" s="13">
        <f>MAX(0,MIN(C52,$B$8-D52))</f>
        <v/>
      </c>
      <c r="F52" s="13">
        <f>MAX(0,C52-E52)</f>
        <v/>
      </c>
    </row>
    <row r="53">
      <c r="A53" s="11" t="n">
        <v>31</v>
      </c>
      <c r="B53" s="18" t="n">
        <v>46935</v>
      </c>
      <c r="C53" s="13">
        <f>F52</f>
        <v/>
      </c>
      <c r="D53" s="13">
        <f>MAX(0,C53*$B$7/12)</f>
        <v/>
      </c>
      <c r="E53" s="13">
        <f>MAX(0,MIN(C53,$B$8-D53))</f>
        <v/>
      </c>
      <c r="F53" s="13">
        <f>MAX(0,C53-E53)</f>
        <v/>
      </c>
    </row>
    <row r="54">
      <c r="A54" s="11" t="n">
        <v>32</v>
      </c>
      <c r="B54" s="18" t="n">
        <v>46966</v>
      </c>
      <c r="C54" s="13">
        <f>F53</f>
        <v/>
      </c>
      <c r="D54" s="13">
        <f>MAX(0,C54*$B$7/12)</f>
        <v/>
      </c>
      <c r="E54" s="13">
        <f>MAX(0,MIN(C54,$B$8-D54))</f>
        <v/>
      </c>
      <c r="F54" s="13">
        <f>MAX(0,C54-E54)</f>
        <v/>
      </c>
    </row>
    <row r="55">
      <c r="A55" s="11" t="n">
        <v>33</v>
      </c>
      <c r="B55" s="18" t="n">
        <v>46997</v>
      </c>
      <c r="C55" s="13">
        <f>F54</f>
        <v/>
      </c>
      <c r="D55" s="13">
        <f>MAX(0,C55*$B$7/12)</f>
        <v/>
      </c>
      <c r="E55" s="13">
        <f>MAX(0,MIN(C55,$B$8-D55))</f>
        <v/>
      </c>
      <c r="F55" s="13">
        <f>MAX(0,C55-E55)</f>
        <v/>
      </c>
    </row>
    <row r="56">
      <c r="A56" s="11" t="n">
        <v>34</v>
      </c>
      <c r="B56" s="18" t="n">
        <v>47027</v>
      </c>
      <c r="C56" s="13">
        <f>F55</f>
        <v/>
      </c>
      <c r="D56" s="13">
        <f>MAX(0,C56*$B$7/12)</f>
        <v/>
      </c>
      <c r="E56" s="13">
        <f>MAX(0,MIN(C56,$B$8-D56))</f>
        <v/>
      </c>
      <c r="F56" s="13">
        <f>MAX(0,C56-E56)</f>
        <v/>
      </c>
    </row>
    <row r="57">
      <c r="A57" s="11" t="n">
        <v>35</v>
      </c>
      <c r="B57" s="18" t="n">
        <v>47058</v>
      </c>
      <c r="C57" s="13">
        <f>F56</f>
        <v/>
      </c>
      <c r="D57" s="13">
        <f>MAX(0,C57*$B$7/12)</f>
        <v/>
      </c>
      <c r="E57" s="13">
        <f>MAX(0,MIN(C57,$B$8-D57))</f>
        <v/>
      </c>
      <c r="F57" s="13">
        <f>MAX(0,C57-E57)</f>
        <v/>
      </c>
    </row>
    <row r="58">
      <c r="A58" s="11" t="n">
        <v>36</v>
      </c>
      <c r="B58" s="18" t="n">
        <v>47088</v>
      </c>
      <c r="C58" s="13">
        <f>F57</f>
        <v/>
      </c>
      <c r="D58" s="13">
        <f>MAX(0,C58*$B$7/12)</f>
        <v/>
      </c>
      <c r="E58" s="13">
        <f>MAX(0,MIN(C58,$B$8-D58))</f>
        <v/>
      </c>
      <c r="F58" s="13">
        <f>MAX(0,C58-E58)</f>
        <v/>
      </c>
    </row>
    <row r="61">
      <c r="A61" s="2" t="inlineStr">
        <is>
          <t>ANNUAL SUMMARY</t>
        </is>
      </c>
      <c r="B61" s="3" t="n"/>
      <c r="C61" s="3" t="n"/>
      <c r="D61" s="3" t="n"/>
      <c r="E61" s="3" t="n"/>
      <c r="F61" s="3" t="n"/>
    </row>
    <row r="62">
      <c r="A62" s="14" t="inlineStr">
        <is>
          <t>Year</t>
        </is>
      </c>
      <c r="B62" s="14" t="inlineStr"/>
      <c r="C62" s="14" t="inlineStr">
        <is>
          <t>Opening</t>
        </is>
      </c>
      <c r="D62" s="14" t="inlineStr">
        <is>
          <t>Interest</t>
        </is>
      </c>
      <c r="E62" s="14" t="inlineStr">
        <is>
          <t>Principal</t>
        </is>
      </c>
      <c r="F62" s="14" t="inlineStr">
        <is>
          <t>Closing</t>
        </is>
      </c>
    </row>
    <row r="63">
      <c r="A63" s="15" t="n">
        <v>2026</v>
      </c>
      <c r="B63" s="15" t="inlineStr"/>
      <c r="C63" s="16">
        <f>C23</f>
        <v/>
      </c>
      <c r="D63" s="16">
        <f>SUM(D23:D34)</f>
        <v/>
      </c>
      <c r="E63" s="16">
        <f>SUM(E23:E34)</f>
        <v/>
      </c>
      <c r="F63" s="16">
        <f>F34</f>
        <v/>
      </c>
    </row>
    <row r="64">
      <c r="A64" s="15" t="n">
        <v>2027</v>
      </c>
      <c r="B64" s="15" t="inlineStr"/>
      <c r="C64" s="16">
        <f>C35</f>
        <v/>
      </c>
      <c r="D64" s="16">
        <f>SUM(D35:D46)</f>
        <v/>
      </c>
      <c r="E64" s="16">
        <f>SUM(E35:E46)</f>
        <v/>
      </c>
      <c r="F64" s="16">
        <f>F46</f>
        <v/>
      </c>
    </row>
    <row r="65">
      <c r="A65" s="15" t="n">
        <v>2028</v>
      </c>
      <c r="B65" s="15" t="inlineStr"/>
      <c r="C65" s="16">
        <f>C47</f>
        <v/>
      </c>
      <c r="D65" s="16">
        <f>SUM(D47:D58)</f>
        <v/>
      </c>
      <c r="E65" s="16">
        <f>SUM(E47:E58)</f>
        <v/>
      </c>
      <c r="F65" s="16">
        <f>F58</f>
        <v/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11.xml><?xml version="1.0" encoding="utf-8"?>
<worksheet xmlns="http://schemas.openxmlformats.org/spreadsheetml/2006/main">
  <sheetPr>
    <tabColor rgb="00808080"/>
    <outlinePr summaryBelow="1" summaryRight="1"/>
    <pageSetUpPr/>
  </sheetPr>
  <dimension ref="A1:F86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2" t="inlineStr">
        <is>
          <t>LOAN DETAILS</t>
        </is>
      </c>
      <c r="B1" s="3" t="n"/>
      <c r="C1" s="3" t="n"/>
      <c r="D1" s="3" t="n"/>
      <c r="E1" s="3" t="n"/>
      <c r="F1" s="3" t="n"/>
    </row>
    <row r="2">
      <c r="A2" t="inlineStr">
        <is>
          <t>Lender</t>
        </is>
      </c>
      <c r="B2" s="4" t="inlineStr">
        <is>
          <t>Webster Capital Finance</t>
        </is>
      </c>
    </row>
    <row r="3">
      <c r="A3" t="inlineStr">
        <is>
          <t>Loan ID</t>
        </is>
      </c>
      <c r="B3" s="4" t="inlineStr">
        <is>
          <t>05-2939-006-000-00</t>
        </is>
      </c>
    </row>
    <row r="4">
      <c r="A4" t="inlineStr">
        <is>
          <t>Description</t>
        </is>
      </c>
      <c r="B4" s="4" t="inlineStr">
        <is>
          <t>25 Trailers</t>
        </is>
      </c>
    </row>
    <row r="5">
      <c r="A5" t="inlineStr">
        <is>
          <t>Collateral</t>
        </is>
      </c>
      <c r="B5" s="4" t="inlineStr">
        <is>
          <t>Equipment - Trailers</t>
        </is>
      </c>
    </row>
    <row r="6">
      <c r="A6" t="inlineStr">
        <is>
          <t>Current Balance</t>
        </is>
      </c>
      <c r="B6" s="5" t="n">
        <v>1110077</v>
      </c>
    </row>
    <row r="7">
      <c r="A7" t="inlineStr">
        <is>
          <t>Annual Rate</t>
        </is>
      </c>
      <c r="B7" s="6" t="n">
        <v>0.0615</v>
      </c>
    </row>
    <row r="8">
      <c r="A8" t="inlineStr">
        <is>
          <t>Monthly Payment</t>
        </is>
      </c>
      <c r="B8" s="5" t="n">
        <v>23239</v>
      </c>
    </row>
    <row r="9">
      <c r="A9" t="inlineStr">
        <is>
          <t>Maturity Date</t>
        </is>
      </c>
      <c r="B9" s="17" t="n">
        <v>47685</v>
      </c>
    </row>
    <row r="10">
      <c r="A10" t="inlineStr">
        <is>
          <t>Loan Type</t>
        </is>
      </c>
      <c r="B10" s="4" t="inlineStr">
        <is>
          <t>AMORTIZING</t>
        </is>
      </c>
    </row>
    <row r="12">
      <c r="A12" s="8" t="inlineStr">
        <is>
          <t>AI ANALYSIS</t>
        </is>
      </c>
      <c r="B12" s="9" t="n"/>
      <c r="C12" s="9" t="n"/>
      <c r="D12" s="9" t="n"/>
      <c r="E12" s="9" t="n"/>
      <c r="F12" s="9" t="n"/>
    </row>
    <row r="13">
      <c r="A13" s="9" t="inlineStr">
        <is>
          <t>Loan Type:</t>
        </is>
      </c>
      <c r="B13" s="9" t="inlineStr">
        <is>
          <t>Standard amortizing equipment loan</t>
        </is>
      </c>
    </row>
    <row r="14">
      <c r="A14" s="9" t="inlineStr">
        <is>
          <t>Classification:</t>
        </is>
      </c>
      <c r="B14" s="9" t="inlineStr">
        <is>
          <t>Equipment - Trailers</t>
        </is>
      </c>
    </row>
    <row r="15">
      <c r="A15" s="9" t="inlineStr">
        <is>
          <t>Amortization:</t>
        </is>
      </c>
      <c r="B15" s="9" t="inlineStr">
        <is>
          <t>Fully amortizing, fixed monthly payments</t>
        </is>
      </c>
    </row>
    <row r="16">
      <c r="A16" s="9" t="inlineStr">
        <is>
          <t>Source Doc:</t>
        </is>
      </c>
      <c r="B16" s="9" t="inlineStr">
        <is>
          <t>Meiborg_Debt_Schedule_202512.xlsx, loans.md</t>
        </is>
      </c>
    </row>
    <row r="17">
      <c r="A17" s="9" t="inlineStr">
        <is>
          <t>Months Remaining:</t>
        </is>
      </c>
      <c r="B17" s="9" t="n">
        <v>55</v>
      </c>
    </row>
    <row r="18">
      <c r="A18" s="9" t="inlineStr">
        <is>
          <t>Model Start:</t>
        </is>
      </c>
      <c r="B18" s="9" t="inlineStr">
        <is>
          <t>January 2026 (balance as of 12/31/2025)</t>
        </is>
      </c>
    </row>
    <row r="19">
      <c r="A19" s="9" t="n"/>
      <c r="B19" s="9" t="n"/>
      <c r="C19" s="9" t="n"/>
      <c r="D19" s="9" t="n"/>
      <c r="E19" s="9" t="n"/>
      <c r="F19" s="9" t="n"/>
    </row>
    <row r="20">
      <c r="A20" s="9" t="n"/>
      <c r="B20" s="9" t="n"/>
      <c r="C20" s="9" t="n"/>
      <c r="D20" s="9" t="n"/>
      <c r="E20" s="9" t="n"/>
      <c r="F20" s="9" t="n"/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11" t="n">
        <v>1</v>
      </c>
      <c r="B23" s="18" t="n">
        <v>46023</v>
      </c>
      <c r="C23" s="13">
        <f>$B$6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11" t="n">
        <v>2</v>
      </c>
      <c r="B24" s="18" t="n">
        <v>46054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11" t="n">
        <v>3</v>
      </c>
      <c r="B25" s="18" t="n">
        <v>46082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11" t="n">
        <v>4</v>
      </c>
      <c r="B26" s="18" t="n">
        <v>46113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11" t="n">
        <v>5</v>
      </c>
      <c r="B27" s="18" t="n">
        <v>46143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11" t="n">
        <v>6</v>
      </c>
      <c r="B28" s="18" t="n">
        <v>46174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11" t="n">
        <v>7</v>
      </c>
      <c r="B29" s="18" t="n">
        <v>46204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11" t="n">
        <v>8</v>
      </c>
      <c r="B30" s="18" t="n">
        <v>46235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11" t="n">
        <v>9</v>
      </c>
      <c r="B31" s="18" t="n">
        <v>46266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11" t="n">
        <v>10</v>
      </c>
      <c r="B32" s="18" t="n">
        <v>46296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11" t="n">
        <v>11</v>
      </c>
      <c r="B33" s="18" t="n">
        <v>46327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4">
      <c r="A34" s="11" t="n">
        <v>12</v>
      </c>
      <c r="B34" s="18" t="n">
        <v>46357</v>
      </c>
      <c r="C34" s="13">
        <f>F33</f>
        <v/>
      </c>
      <c r="D34" s="13">
        <f>MAX(0,C34*$B$7/12)</f>
        <v/>
      </c>
      <c r="E34" s="13">
        <f>MAX(0,MIN(C34,$B$8-D34))</f>
        <v/>
      </c>
      <c r="F34" s="13">
        <f>MAX(0,C34-E34)</f>
        <v/>
      </c>
    </row>
    <row r="35">
      <c r="A35" s="11" t="n">
        <v>13</v>
      </c>
      <c r="B35" s="18" t="n">
        <v>46388</v>
      </c>
      <c r="C35" s="13">
        <f>F34</f>
        <v/>
      </c>
      <c r="D35" s="13">
        <f>MAX(0,C35*$B$7/12)</f>
        <v/>
      </c>
      <c r="E35" s="13">
        <f>MAX(0,MIN(C35,$B$8-D35))</f>
        <v/>
      </c>
      <c r="F35" s="13">
        <f>MAX(0,C35-E35)</f>
        <v/>
      </c>
    </row>
    <row r="36">
      <c r="A36" s="11" t="n">
        <v>14</v>
      </c>
      <c r="B36" s="18" t="n">
        <v>46419</v>
      </c>
      <c r="C36" s="13">
        <f>F35</f>
        <v/>
      </c>
      <c r="D36" s="13">
        <f>MAX(0,C36*$B$7/12)</f>
        <v/>
      </c>
      <c r="E36" s="13">
        <f>MAX(0,MIN(C36,$B$8-D36))</f>
        <v/>
      </c>
      <c r="F36" s="13">
        <f>MAX(0,C36-E36)</f>
        <v/>
      </c>
    </row>
    <row r="37">
      <c r="A37" s="11" t="n">
        <v>15</v>
      </c>
      <c r="B37" s="18" t="n">
        <v>46447</v>
      </c>
      <c r="C37" s="13">
        <f>F36</f>
        <v/>
      </c>
      <c r="D37" s="13">
        <f>MAX(0,C37*$B$7/12)</f>
        <v/>
      </c>
      <c r="E37" s="13">
        <f>MAX(0,MIN(C37,$B$8-D37))</f>
        <v/>
      </c>
      <c r="F37" s="13">
        <f>MAX(0,C37-E37)</f>
        <v/>
      </c>
    </row>
    <row r="38">
      <c r="A38" s="11" t="n">
        <v>16</v>
      </c>
      <c r="B38" s="18" t="n">
        <v>46478</v>
      </c>
      <c r="C38" s="13">
        <f>F37</f>
        <v/>
      </c>
      <c r="D38" s="13">
        <f>MAX(0,C38*$B$7/12)</f>
        <v/>
      </c>
      <c r="E38" s="13">
        <f>MAX(0,MIN(C38,$B$8-D38))</f>
        <v/>
      </c>
      <c r="F38" s="13">
        <f>MAX(0,C38-E38)</f>
        <v/>
      </c>
    </row>
    <row r="39">
      <c r="A39" s="11" t="n">
        <v>17</v>
      </c>
      <c r="B39" s="18" t="n">
        <v>46508</v>
      </c>
      <c r="C39" s="13">
        <f>F38</f>
        <v/>
      </c>
      <c r="D39" s="13">
        <f>MAX(0,C39*$B$7/12)</f>
        <v/>
      </c>
      <c r="E39" s="13">
        <f>MAX(0,MIN(C39,$B$8-D39))</f>
        <v/>
      </c>
      <c r="F39" s="13">
        <f>MAX(0,C39-E39)</f>
        <v/>
      </c>
    </row>
    <row r="40">
      <c r="A40" s="11" t="n">
        <v>18</v>
      </c>
      <c r="B40" s="18" t="n">
        <v>46539</v>
      </c>
      <c r="C40" s="13">
        <f>F39</f>
        <v/>
      </c>
      <c r="D40" s="13">
        <f>MAX(0,C40*$B$7/12)</f>
        <v/>
      </c>
      <c r="E40" s="13">
        <f>MAX(0,MIN(C40,$B$8-D40))</f>
        <v/>
      </c>
      <c r="F40" s="13">
        <f>MAX(0,C40-E40)</f>
        <v/>
      </c>
    </row>
    <row r="41">
      <c r="A41" s="11" t="n">
        <v>19</v>
      </c>
      <c r="B41" s="18" t="n">
        <v>46569</v>
      </c>
      <c r="C41" s="13">
        <f>F40</f>
        <v/>
      </c>
      <c r="D41" s="13">
        <f>MAX(0,C41*$B$7/12)</f>
        <v/>
      </c>
      <c r="E41" s="13">
        <f>MAX(0,MIN(C41,$B$8-D41))</f>
        <v/>
      </c>
      <c r="F41" s="13">
        <f>MAX(0,C41-E41)</f>
        <v/>
      </c>
    </row>
    <row r="42">
      <c r="A42" s="11" t="n">
        <v>20</v>
      </c>
      <c r="B42" s="18" t="n">
        <v>46600</v>
      </c>
      <c r="C42" s="13">
        <f>F41</f>
        <v/>
      </c>
      <c r="D42" s="13">
        <f>MAX(0,C42*$B$7/12)</f>
        <v/>
      </c>
      <c r="E42" s="13">
        <f>MAX(0,MIN(C42,$B$8-D42))</f>
        <v/>
      </c>
      <c r="F42" s="13">
        <f>MAX(0,C42-E42)</f>
        <v/>
      </c>
    </row>
    <row r="43">
      <c r="A43" s="11" t="n">
        <v>21</v>
      </c>
      <c r="B43" s="18" t="n">
        <v>46631</v>
      </c>
      <c r="C43" s="13">
        <f>F42</f>
        <v/>
      </c>
      <c r="D43" s="13">
        <f>MAX(0,C43*$B$7/12)</f>
        <v/>
      </c>
      <c r="E43" s="13">
        <f>MAX(0,MIN(C43,$B$8-D43))</f>
        <v/>
      </c>
      <c r="F43" s="13">
        <f>MAX(0,C43-E43)</f>
        <v/>
      </c>
    </row>
    <row r="44">
      <c r="A44" s="11" t="n">
        <v>22</v>
      </c>
      <c r="B44" s="18" t="n">
        <v>46661</v>
      </c>
      <c r="C44" s="13">
        <f>F43</f>
        <v/>
      </c>
      <c r="D44" s="13">
        <f>MAX(0,C44*$B$7/12)</f>
        <v/>
      </c>
      <c r="E44" s="13">
        <f>MAX(0,MIN(C44,$B$8-D44))</f>
        <v/>
      </c>
      <c r="F44" s="13">
        <f>MAX(0,C44-E44)</f>
        <v/>
      </c>
    </row>
    <row r="45">
      <c r="A45" s="11" t="n">
        <v>23</v>
      </c>
      <c r="B45" s="18" t="n">
        <v>46692</v>
      </c>
      <c r="C45" s="13">
        <f>F44</f>
        <v/>
      </c>
      <c r="D45" s="13">
        <f>MAX(0,C45*$B$7/12)</f>
        <v/>
      </c>
      <c r="E45" s="13">
        <f>MAX(0,MIN(C45,$B$8-D45))</f>
        <v/>
      </c>
      <c r="F45" s="13">
        <f>MAX(0,C45-E45)</f>
        <v/>
      </c>
    </row>
    <row r="46">
      <c r="A46" s="11" t="n">
        <v>24</v>
      </c>
      <c r="B46" s="18" t="n">
        <v>46722</v>
      </c>
      <c r="C46" s="13">
        <f>F45</f>
        <v/>
      </c>
      <c r="D46" s="13">
        <f>MAX(0,C46*$B$7/12)</f>
        <v/>
      </c>
      <c r="E46" s="13">
        <f>MAX(0,MIN(C46,$B$8-D46))</f>
        <v/>
      </c>
      <c r="F46" s="13">
        <f>MAX(0,C46-E46)</f>
        <v/>
      </c>
    </row>
    <row r="47">
      <c r="A47" s="11" t="n">
        <v>25</v>
      </c>
      <c r="B47" s="18" t="n">
        <v>46753</v>
      </c>
      <c r="C47" s="13">
        <f>F46</f>
        <v/>
      </c>
      <c r="D47" s="13">
        <f>MAX(0,C47*$B$7/12)</f>
        <v/>
      </c>
      <c r="E47" s="13">
        <f>MAX(0,MIN(C47,$B$8-D47))</f>
        <v/>
      </c>
      <c r="F47" s="13">
        <f>MAX(0,C47-E47)</f>
        <v/>
      </c>
    </row>
    <row r="48">
      <c r="A48" s="11" t="n">
        <v>26</v>
      </c>
      <c r="B48" s="18" t="n">
        <v>46784</v>
      </c>
      <c r="C48" s="13">
        <f>F47</f>
        <v/>
      </c>
      <c r="D48" s="13">
        <f>MAX(0,C48*$B$7/12)</f>
        <v/>
      </c>
      <c r="E48" s="13">
        <f>MAX(0,MIN(C48,$B$8-D48))</f>
        <v/>
      </c>
      <c r="F48" s="13">
        <f>MAX(0,C48-E48)</f>
        <v/>
      </c>
    </row>
    <row r="49">
      <c r="A49" s="11" t="n">
        <v>27</v>
      </c>
      <c r="B49" s="18" t="n">
        <v>46813</v>
      </c>
      <c r="C49" s="13">
        <f>F48</f>
        <v/>
      </c>
      <c r="D49" s="13">
        <f>MAX(0,C49*$B$7/12)</f>
        <v/>
      </c>
      <c r="E49" s="13">
        <f>MAX(0,MIN(C49,$B$8-D49))</f>
        <v/>
      </c>
      <c r="F49" s="13">
        <f>MAX(0,C49-E49)</f>
        <v/>
      </c>
    </row>
    <row r="50">
      <c r="A50" s="11" t="n">
        <v>28</v>
      </c>
      <c r="B50" s="18" t="n">
        <v>46844</v>
      </c>
      <c r="C50" s="13">
        <f>F49</f>
        <v/>
      </c>
      <c r="D50" s="13">
        <f>MAX(0,C50*$B$7/12)</f>
        <v/>
      </c>
      <c r="E50" s="13">
        <f>MAX(0,MIN(C50,$B$8-D50))</f>
        <v/>
      </c>
      <c r="F50" s="13">
        <f>MAX(0,C50-E50)</f>
        <v/>
      </c>
    </row>
    <row r="51">
      <c r="A51" s="11" t="n">
        <v>29</v>
      </c>
      <c r="B51" s="18" t="n">
        <v>46874</v>
      </c>
      <c r="C51" s="13">
        <f>F50</f>
        <v/>
      </c>
      <c r="D51" s="13">
        <f>MAX(0,C51*$B$7/12)</f>
        <v/>
      </c>
      <c r="E51" s="13">
        <f>MAX(0,MIN(C51,$B$8-D51))</f>
        <v/>
      </c>
      <c r="F51" s="13">
        <f>MAX(0,C51-E51)</f>
        <v/>
      </c>
    </row>
    <row r="52">
      <c r="A52" s="11" t="n">
        <v>30</v>
      </c>
      <c r="B52" s="18" t="n">
        <v>46905</v>
      </c>
      <c r="C52" s="13">
        <f>F51</f>
        <v/>
      </c>
      <c r="D52" s="13">
        <f>MAX(0,C52*$B$7/12)</f>
        <v/>
      </c>
      <c r="E52" s="13">
        <f>MAX(0,MIN(C52,$B$8-D52))</f>
        <v/>
      </c>
      <c r="F52" s="13">
        <f>MAX(0,C52-E52)</f>
        <v/>
      </c>
    </row>
    <row r="53">
      <c r="A53" s="11" t="n">
        <v>31</v>
      </c>
      <c r="B53" s="18" t="n">
        <v>46935</v>
      </c>
      <c r="C53" s="13">
        <f>F52</f>
        <v/>
      </c>
      <c r="D53" s="13">
        <f>MAX(0,C53*$B$7/12)</f>
        <v/>
      </c>
      <c r="E53" s="13">
        <f>MAX(0,MIN(C53,$B$8-D53))</f>
        <v/>
      </c>
      <c r="F53" s="13">
        <f>MAX(0,C53-E53)</f>
        <v/>
      </c>
    </row>
    <row r="54">
      <c r="A54" s="11" t="n">
        <v>32</v>
      </c>
      <c r="B54" s="18" t="n">
        <v>46966</v>
      </c>
      <c r="C54" s="13">
        <f>F53</f>
        <v/>
      </c>
      <c r="D54" s="13">
        <f>MAX(0,C54*$B$7/12)</f>
        <v/>
      </c>
      <c r="E54" s="13">
        <f>MAX(0,MIN(C54,$B$8-D54))</f>
        <v/>
      </c>
      <c r="F54" s="13">
        <f>MAX(0,C54-E54)</f>
        <v/>
      </c>
    </row>
    <row r="55">
      <c r="A55" s="11" t="n">
        <v>33</v>
      </c>
      <c r="B55" s="18" t="n">
        <v>46997</v>
      </c>
      <c r="C55" s="13">
        <f>F54</f>
        <v/>
      </c>
      <c r="D55" s="13">
        <f>MAX(0,C55*$B$7/12)</f>
        <v/>
      </c>
      <c r="E55" s="13">
        <f>MAX(0,MIN(C55,$B$8-D55))</f>
        <v/>
      </c>
      <c r="F55" s="13">
        <f>MAX(0,C55-E55)</f>
        <v/>
      </c>
    </row>
    <row r="56">
      <c r="A56" s="11" t="n">
        <v>34</v>
      </c>
      <c r="B56" s="18" t="n">
        <v>47027</v>
      </c>
      <c r="C56" s="13">
        <f>F55</f>
        <v/>
      </c>
      <c r="D56" s="13">
        <f>MAX(0,C56*$B$7/12)</f>
        <v/>
      </c>
      <c r="E56" s="13">
        <f>MAX(0,MIN(C56,$B$8-D56))</f>
        <v/>
      </c>
      <c r="F56" s="13">
        <f>MAX(0,C56-E56)</f>
        <v/>
      </c>
    </row>
    <row r="57">
      <c r="A57" s="11" t="n">
        <v>35</v>
      </c>
      <c r="B57" s="18" t="n">
        <v>47058</v>
      </c>
      <c r="C57" s="13">
        <f>F56</f>
        <v/>
      </c>
      <c r="D57" s="13">
        <f>MAX(0,C57*$B$7/12)</f>
        <v/>
      </c>
      <c r="E57" s="13">
        <f>MAX(0,MIN(C57,$B$8-D57))</f>
        <v/>
      </c>
      <c r="F57" s="13">
        <f>MAX(0,C57-E57)</f>
        <v/>
      </c>
    </row>
    <row r="58">
      <c r="A58" s="11" t="n">
        <v>36</v>
      </c>
      <c r="B58" s="18" t="n">
        <v>47088</v>
      </c>
      <c r="C58" s="13">
        <f>F57</f>
        <v/>
      </c>
      <c r="D58" s="13">
        <f>MAX(0,C58*$B$7/12)</f>
        <v/>
      </c>
      <c r="E58" s="13">
        <f>MAX(0,MIN(C58,$B$8-D58))</f>
        <v/>
      </c>
      <c r="F58" s="13">
        <f>MAX(0,C58-E58)</f>
        <v/>
      </c>
    </row>
    <row r="59">
      <c r="A59" s="11" t="n">
        <v>37</v>
      </c>
      <c r="B59" s="18" t="n">
        <v>47119</v>
      </c>
      <c r="C59" s="13">
        <f>F58</f>
        <v/>
      </c>
      <c r="D59" s="13">
        <f>MAX(0,C59*$B$7/12)</f>
        <v/>
      </c>
      <c r="E59" s="13">
        <f>MAX(0,MIN(C59,$B$8-D59))</f>
        <v/>
      </c>
      <c r="F59" s="13">
        <f>MAX(0,C59-E59)</f>
        <v/>
      </c>
    </row>
    <row r="60">
      <c r="A60" s="11" t="n">
        <v>38</v>
      </c>
      <c r="B60" s="18" t="n">
        <v>47150</v>
      </c>
      <c r="C60" s="13">
        <f>F59</f>
        <v/>
      </c>
      <c r="D60" s="13">
        <f>MAX(0,C60*$B$7/12)</f>
        <v/>
      </c>
      <c r="E60" s="13">
        <f>MAX(0,MIN(C60,$B$8-D60))</f>
        <v/>
      </c>
      <c r="F60" s="13">
        <f>MAX(0,C60-E60)</f>
        <v/>
      </c>
    </row>
    <row r="61">
      <c r="A61" s="11" t="n">
        <v>39</v>
      </c>
      <c r="B61" s="18" t="n">
        <v>47178</v>
      </c>
      <c r="C61" s="13">
        <f>F60</f>
        <v/>
      </c>
      <c r="D61" s="13">
        <f>MAX(0,C61*$B$7/12)</f>
        <v/>
      </c>
      <c r="E61" s="13">
        <f>MAX(0,MIN(C61,$B$8-D61))</f>
        <v/>
      </c>
      <c r="F61" s="13">
        <f>MAX(0,C61-E61)</f>
        <v/>
      </c>
    </row>
    <row r="62">
      <c r="A62" s="11" t="n">
        <v>40</v>
      </c>
      <c r="B62" s="18" t="n">
        <v>47209</v>
      </c>
      <c r="C62" s="13">
        <f>F61</f>
        <v/>
      </c>
      <c r="D62" s="13">
        <f>MAX(0,C62*$B$7/12)</f>
        <v/>
      </c>
      <c r="E62" s="13">
        <f>MAX(0,MIN(C62,$B$8-D62))</f>
        <v/>
      </c>
      <c r="F62" s="13">
        <f>MAX(0,C62-E62)</f>
        <v/>
      </c>
    </row>
    <row r="63">
      <c r="A63" s="11" t="n">
        <v>41</v>
      </c>
      <c r="B63" s="18" t="n">
        <v>47239</v>
      </c>
      <c r="C63" s="13">
        <f>F62</f>
        <v/>
      </c>
      <c r="D63" s="13">
        <f>MAX(0,C63*$B$7/12)</f>
        <v/>
      </c>
      <c r="E63" s="13">
        <f>MAX(0,MIN(C63,$B$8-D63))</f>
        <v/>
      </c>
      <c r="F63" s="13">
        <f>MAX(0,C63-E63)</f>
        <v/>
      </c>
    </row>
    <row r="64">
      <c r="A64" s="11" t="n">
        <v>42</v>
      </c>
      <c r="B64" s="18" t="n">
        <v>47270</v>
      </c>
      <c r="C64" s="13">
        <f>F63</f>
        <v/>
      </c>
      <c r="D64" s="13">
        <f>MAX(0,C64*$B$7/12)</f>
        <v/>
      </c>
      <c r="E64" s="13">
        <f>MAX(0,MIN(C64,$B$8-D64))</f>
        <v/>
      </c>
      <c r="F64" s="13">
        <f>MAX(0,C64-E64)</f>
        <v/>
      </c>
    </row>
    <row r="65">
      <c r="A65" s="11" t="n">
        <v>43</v>
      </c>
      <c r="B65" s="18" t="n">
        <v>47300</v>
      </c>
      <c r="C65" s="13">
        <f>F64</f>
        <v/>
      </c>
      <c r="D65" s="13">
        <f>MAX(0,C65*$B$7/12)</f>
        <v/>
      </c>
      <c r="E65" s="13">
        <f>MAX(0,MIN(C65,$B$8-D65))</f>
        <v/>
      </c>
      <c r="F65" s="13">
        <f>MAX(0,C65-E65)</f>
        <v/>
      </c>
    </row>
    <row r="66">
      <c r="A66" s="11" t="n">
        <v>44</v>
      </c>
      <c r="B66" s="18" t="n">
        <v>47331</v>
      </c>
      <c r="C66" s="13">
        <f>F65</f>
        <v/>
      </c>
      <c r="D66" s="13">
        <f>MAX(0,C66*$B$7/12)</f>
        <v/>
      </c>
      <c r="E66" s="13">
        <f>MAX(0,MIN(C66,$B$8-D66))</f>
        <v/>
      </c>
      <c r="F66" s="13">
        <f>MAX(0,C66-E66)</f>
        <v/>
      </c>
    </row>
    <row r="67">
      <c r="A67" s="11" t="n">
        <v>45</v>
      </c>
      <c r="B67" s="18" t="n">
        <v>47362</v>
      </c>
      <c r="C67" s="13">
        <f>F66</f>
        <v/>
      </c>
      <c r="D67" s="13">
        <f>MAX(0,C67*$B$7/12)</f>
        <v/>
      </c>
      <c r="E67" s="13">
        <f>MAX(0,MIN(C67,$B$8-D67))</f>
        <v/>
      </c>
      <c r="F67" s="13">
        <f>MAX(0,C67-E67)</f>
        <v/>
      </c>
    </row>
    <row r="68">
      <c r="A68" s="11" t="n">
        <v>46</v>
      </c>
      <c r="B68" s="18" t="n">
        <v>47392</v>
      </c>
      <c r="C68" s="13">
        <f>F67</f>
        <v/>
      </c>
      <c r="D68" s="13">
        <f>MAX(0,C68*$B$7/12)</f>
        <v/>
      </c>
      <c r="E68" s="13">
        <f>MAX(0,MIN(C68,$B$8-D68))</f>
        <v/>
      </c>
      <c r="F68" s="13">
        <f>MAX(0,C68-E68)</f>
        <v/>
      </c>
    </row>
    <row r="69">
      <c r="A69" s="11" t="n">
        <v>47</v>
      </c>
      <c r="B69" s="18" t="n">
        <v>47423</v>
      </c>
      <c r="C69" s="13">
        <f>F68</f>
        <v/>
      </c>
      <c r="D69" s="13">
        <f>MAX(0,C69*$B$7/12)</f>
        <v/>
      </c>
      <c r="E69" s="13">
        <f>MAX(0,MIN(C69,$B$8-D69))</f>
        <v/>
      </c>
      <c r="F69" s="13">
        <f>MAX(0,C69-E69)</f>
        <v/>
      </c>
    </row>
    <row r="70">
      <c r="A70" s="11" t="n">
        <v>48</v>
      </c>
      <c r="B70" s="18" t="n">
        <v>47453</v>
      </c>
      <c r="C70" s="13">
        <f>F69</f>
        <v/>
      </c>
      <c r="D70" s="13">
        <f>MAX(0,C70*$B$7/12)</f>
        <v/>
      </c>
      <c r="E70" s="13">
        <f>MAX(0,MIN(C70,$B$8-D70))</f>
        <v/>
      </c>
      <c r="F70" s="13">
        <f>MAX(0,C70-E70)</f>
        <v/>
      </c>
    </row>
    <row r="71">
      <c r="A71" s="11" t="n">
        <v>49</v>
      </c>
      <c r="B71" s="18" t="n">
        <v>47484</v>
      </c>
      <c r="C71" s="13">
        <f>F70</f>
        <v/>
      </c>
      <c r="D71" s="13">
        <f>MAX(0,C71*$B$7/12)</f>
        <v/>
      </c>
      <c r="E71" s="13">
        <f>MAX(0,MIN(C71,$B$8-D71))</f>
        <v/>
      </c>
      <c r="F71" s="13">
        <f>MAX(0,C71-E71)</f>
        <v/>
      </c>
    </row>
    <row r="72">
      <c r="A72" s="11" t="n">
        <v>50</v>
      </c>
      <c r="B72" s="18" t="n">
        <v>47515</v>
      </c>
      <c r="C72" s="13">
        <f>F71</f>
        <v/>
      </c>
      <c r="D72" s="13">
        <f>MAX(0,C72*$B$7/12)</f>
        <v/>
      </c>
      <c r="E72" s="13">
        <f>MAX(0,MIN(C72,$B$8-D72))</f>
        <v/>
      </c>
      <c r="F72" s="13">
        <f>MAX(0,C72-E72)</f>
        <v/>
      </c>
    </row>
    <row r="73">
      <c r="A73" s="11" t="n">
        <v>51</v>
      </c>
      <c r="B73" s="18" t="n">
        <v>47543</v>
      </c>
      <c r="C73" s="13">
        <f>F72</f>
        <v/>
      </c>
      <c r="D73" s="13">
        <f>MAX(0,C73*$B$7/12)</f>
        <v/>
      </c>
      <c r="E73" s="13">
        <f>MAX(0,MIN(C73,$B$8-D73))</f>
        <v/>
      </c>
      <c r="F73" s="13">
        <f>MAX(0,C73-E73)</f>
        <v/>
      </c>
    </row>
    <row r="74">
      <c r="A74" s="11" t="n">
        <v>52</v>
      </c>
      <c r="B74" s="18" t="n">
        <v>47574</v>
      </c>
      <c r="C74" s="13">
        <f>F73</f>
        <v/>
      </c>
      <c r="D74" s="13">
        <f>MAX(0,C74*$B$7/12)</f>
        <v/>
      </c>
      <c r="E74" s="13">
        <f>MAX(0,MIN(C74,$B$8-D74))</f>
        <v/>
      </c>
      <c r="F74" s="13">
        <f>MAX(0,C74-E74)</f>
        <v/>
      </c>
    </row>
    <row r="75">
      <c r="A75" s="11" t="n">
        <v>53</v>
      </c>
      <c r="B75" s="18" t="n">
        <v>47604</v>
      </c>
      <c r="C75" s="13">
        <f>F74</f>
        <v/>
      </c>
      <c r="D75" s="13">
        <f>MAX(0,C75*$B$7/12)</f>
        <v/>
      </c>
      <c r="E75" s="13">
        <f>MAX(0,MIN(C75,$B$8-D75))</f>
        <v/>
      </c>
      <c r="F75" s="13">
        <f>MAX(0,C75-E75)</f>
        <v/>
      </c>
    </row>
    <row r="76">
      <c r="A76" s="11" t="n">
        <v>54</v>
      </c>
      <c r="B76" s="18" t="n">
        <v>47635</v>
      </c>
      <c r="C76" s="13">
        <f>F75</f>
        <v/>
      </c>
      <c r="D76" s="13">
        <f>MAX(0,C76*$B$7/12)</f>
        <v/>
      </c>
      <c r="E76" s="13">
        <f>MAX(0,MIN(C76,$B$8-D76))</f>
        <v/>
      </c>
      <c r="F76" s="13">
        <f>MAX(0,C76-E76)</f>
        <v/>
      </c>
    </row>
    <row r="77">
      <c r="A77" s="11" t="n">
        <v>55</v>
      </c>
      <c r="B77" s="18" t="n">
        <v>47665</v>
      </c>
      <c r="C77" s="13">
        <f>F76</f>
        <v/>
      </c>
      <c r="D77" s="13">
        <f>MAX(0,C77*$B$7/12)</f>
        <v/>
      </c>
      <c r="E77" s="13">
        <f>MAX(0,MIN(C77,$B$8-D77))</f>
        <v/>
      </c>
      <c r="F77" s="13">
        <f>MAX(0,C77-E77)</f>
        <v/>
      </c>
    </row>
    <row r="80">
      <c r="A80" s="2" t="inlineStr">
        <is>
          <t>ANNUAL SUMMARY</t>
        </is>
      </c>
      <c r="B80" s="3" t="n"/>
      <c r="C80" s="3" t="n"/>
      <c r="D80" s="3" t="n"/>
      <c r="E80" s="3" t="n"/>
      <c r="F80" s="3" t="n"/>
    </row>
    <row r="81">
      <c r="A81" s="14" t="inlineStr">
        <is>
          <t>Year</t>
        </is>
      </c>
      <c r="B81" s="14" t="inlineStr"/>
      <c r="C81" s="14" t="inlineStr">
        <is>
          <t>Opening</t>
        </is>
      </c>
      <c r="D81" s="14" t="inlineStr">
        <is>
          <t>Interest</t>
        </is>
      </c>
      <c r="E81" s="14" t="inlineStr">
        <is>
          <t>Principal</t>
        </is>
      </c>
      <c r="F81" s="14" t="inlineStr">
        <is>
          <t>Closing</t>
        </is>
      </c>
    </row>
    <row r="82">
      <c r="A82" s="15" t="n">
        <v>2026</v>
      </c>
      <c r="B82" s="15" t="inlineStr"/>
      <c r="C82" s="16">
        <f>C23</f>
        <v/>
      </c>
      <c r="D82" s="16">
        <f>SUM(D23:D34)</f>
        <v/>
      </c>
      <c r="E82" s="16">
        <f>SUM(E23:E34)</f>
        <v/>
      </c>
      <c r="F82" s="16">
        <f>F34</f>
        <v/>
      </c>
    </row>
    <row r="83">
      <c r="A83" s="15" t="n">
        <v>2027</v>
      </c>
      <c r="B83" s="15" t="inlineStr"/>
      <c r="C83" s="16">
        <f>C35</f>
        <v/>
      </c>
      <c r="D83" s="16">
        <f>SUM(D35:D46)</f>
        <v/>
      </c>
      <c r="E83" s="16">
        <f>SUM(E35:E46)</f>
        <v/>
      </c>
      <c r="F83" s="16">
        <f>F46</f>
        <v/>
      </c>
    </row>
    <row r="84">
      <c r="A84" s="15" t="n">
        <v>2028</v>
      </c>
      <c r="B84" s="15" t="inlineStr"/>
      <c r="C84" s="16">
        <f>C47</f>
        <v/>
      </c>
      <c r="D84" s="16">
        <f>SUM(D47:D58)</f>
        <v/>
      </c>
      <c r="E84" s="16">
        <f>SUM(E47:E58)</f>
        <v/>
      </c>
      <c r="F84" s="16">
        <f>F58</f>
        <v/>
      </c>
    </row>
    <row r="85">
      <c r="A85" s="15" t="n">
        <v>2029</v>
      </c>
      <c r="B85" s="15" t="inlineStr"/>
      <c r="C85" s="16">
        <f>C59</f>
        <v/>
      </c>
      <c r="D85" s="16">
        <f>SUM(D59:D70)</f>
        <v/>
      </c>
      <c r="E85" s="16">
        <f>SUM(E59:E70)</f>
        <v/>
      </c>
      <c r="F85" s="16">
        <f>F70</f>
        <v/>
      </c>
    </row>
    <row r="86">
      <c r="A86" s="15" t="n">
        <v>2030</v>
      </c>
      <c r="B86" s="15" t="inlineStr"/>
      <c r="C86" s="16">
        <f>C71</f>
        <v/>
      </c>
      <c r="D86" s="16">
        <f>SUM(D71:D77)</f>
        <v/>
      </c>
      <c r="E86" s="16">
        <f>SUM(E71:E77)</f>
        <v/>
      </c>
      <c r="F86" s="16">
        <f>F77</f>
        <v/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12.xml><?xml version="1.0" encoding="utf-8"?>
<worksheet xmlns="http://schemas.openxmlformats.org/spreadsheetml/2006/main">
  <sheetPr>
    <tabColor rgb="00808080"/>
    <outlinePr summaryBelow="1" summaryRight="1"/>
    <pageSetUpPr/>
  </sheetPr>
  <dimension ref="A1:G290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8" customWidth="1" min="3" max="3"/>
    <col width="14" customWidth="1" min="4" max="4"/>
    <col width="14" customWidth="1" min="5" max="5"/>
    <col width="14" customWidth="1" min="6" max="6"/>
    <col width="18" customWidth="1" min="7" max="7"/>
  </cols>
  <sheetData>
    <row r="1">
      <c r="A1" s="2" t="inlineStr">
        <is>
          <t>WINTRUST LOAN DETAIL</t>
        </is>
      </c>
    </row>
    <row r="3">
      <c r="A3" t="inlineStr">
        <is>
          <t>Loan ID</t>
        </is>
      </c>
      <c r="B3" s="4" t="inlineStr">
        <is>
          <t>08-2911-000-000-00</t>
        </is>
      </c>
    </row>
    <row r="4">
      <c r="A4" t="inlineStr">
        <is>
          <t>Description</t>
        </is>
      </c>
      <c r="B4" t="inlineStr">
        <is>
          <t>Rockford SBA - 1122 Milford Road (Real Estate)</t>
        </is>
      </c>
    </row>
    <row r="5">
      <c r="A5" t="inlineStr">
        <is>
          <t>Origination Date</t>
        </is>
      </c>
      <c r="B5" s="4" t="inlineStr">
        <is>
          <t>12/17/2020</t>
        </is>
      </c>
    </row>
    <row r="6">
      <c r="A6" t="inlineStr">
        <is>
          <t>Maturity Date</t>
        </is>
      </c>
      <c r="B6" s="4" t="inlineStr">
        <is>
          <t>04/01/2046</t>
        </is>
      </c>
    </row>
    <row r="7">
      <c r="A7" t="inlineStr">
        <is>
          <t>Original Balance</t>
        </is>
      </c>
      <c r="B7" s="5" t="n">
        <v>1820000</v>
      </c>
    </row>
    <row r="8">
      <c r="A8" t="inlineStr">
        <is>
          <t>Current Balance</t>
        </is>
      </c>
      <c r="B8" s="5" t="n">
        <v>1579524</v>
      </c>
      <c r="C8" s="19" t="inlineStr">
        <is>
          <t>&lt;-- DS Reference: Opening Balance 2026</t>
        </is>
      </c>
    </row>
    <row r="9">
      <c r="A9" t="inlineStr">
        <is>
          <t>Annual Rate</t>
        </is>
      </c>
      <c r="B9" s="6" t="n">
        <v>0.0361</v>
      </c>
    </row>
    <row r="10">
      <c r="A10" t="inlineStr">
        <is>
          <t>Monthly Payment</t>
        </is>
      </c>
      <c r="B10" s="5" t="n">
        <v>9486</v>
      </c>
    </row>
    <row r="11">
      <c r="A11" t="inlineStr">
        <is>
          <t>Loan Type</t>
        </is>
      </c>
      <c r="B11" s="4" t="inlineStr">
        <is>
          <t>AMORTIZING</t>
        </is>
      </c>
    </row>
    <row r="13">
      <c r="A13" s="20" t="inlineStr">
        <is>
          <t>AI ANALYSIS</t>
        </is>
      </c>
    </row>
    <row r="14">
      <c r="A14" s="9" t="inlineStr">
        <is>
          <t>Loan Classification</t>
        </is>
      </c>
      <c r="B14" s="9" t="inlineStr">
        <is>
          <t>SBA Real Estate Loan - Long-term amortizing</t>
        </is>
      </c>
      <c r="C14" s="9" t="n"/>
      <c r="D14" s="9" t="n"/>
      <c r="E14" s="9" t="n"/>
      <c r="F14" s="9" t="n"/>
      <c r="G14" s="9" t="n"/>
    </row>
    <row r="15">
      <c r="A15" s="9" t="inlineStr">
        <is>
          <t>Collateral</t>
        </is>
      </c>
      <c r="B15" s="9" t="inlineStr">
        <is>
          <t>Real Estate - 1122 Milford Road (Warehouse)</t>
        </is>
      </c>
      <c r="C15" s="9" t="n"/>
      <c r="D15" s="9" t="n"/>
      <c r="E15" s="9" t="n"/>
      <c r="F15" s="9" t="n"/>
      <c r="G15" s="9" t="n"/>
    </row>
    <row r="16">
      <c r="A16" s="9" t="inlineStr">
        <is>
          <t>Amortization Notes</t>
        </is>
      </c>
      <c r="B16" s="9" t="inlineStr">
        <is>
          <t>Standard fully-amortizing SBA 504 loan structure. 25-year term.</t>
        </is>
      </c>
    </row>
    <row r="17">
      <c r="A17" s="9" t="inlineStr">
        <is>
          <t>Remaining Term</t>
        </is>
      </c>
      <c r="B17" s="9" t="inlineStr">
        <is>
          <t>244 months (Jan 2026 - Apr 2046)</t>
        </is>
      </c>
      <c r="C17" s="9" t="n"/>
      <c r="D17" s="9" t="n"/>
      <c r="E17" s="9" t="n"/>
      <c r="F17" s="9" t="n"/>
      <c r="G17" s="9" t="n"/>
    </row>
    <row r="19">
      <c r="A19" s="10" t="inlineStr">
        <is>
          <t>Period</t>
        </is>
      </c>
      <c r="B19" s="10" t="inlineStr">
        <is>
          <t>Date</t>
        </is>
      </c>
      <c r="C19" s="10" t="inlineStr">
        <is>
          <t>Beginning Balance</t>
        </is>
      </c>
      <c r="D19" s="10" t="inlineStr">
        <is>
          <t>Payment</t>
        </is>
      </c>
      <c r="E19" s="10" t="inlineStr">
        <is>
          <t>Interest</t>
        </is>
      </c>
      <c r="F19" s="10" t="inlineStr">
        <is>
          <t>Principal</t>
        </is>
      </c>
      <c r="G19" s="10" t="inlineStr">
        <is>
          <t>Ending Balance</t>
        </is>
      </c>
    </row>
    <row r="20">
      <c r="A20" s="21" t="n">
        <v>1</v>
      </c>
      <c r="B20" s="21" t="inlineStr">
        <is>
          <t>01/01/2026</t>
        </is>
      </c>
      <c r="C20" s="13">
        <f>$B$8</f>
        <v/>
      </c>
      <c r="D20" s="13">
        <f>$B$10</f>
        <v/>
      </c>
      <c r="E20" s="13">
        <f>MAX(0,C20*$B$9/12)</f>
        <v/>
      </c>
      <c r="F20" s="13">
        <f>MAX(0,MIN(C20,D20-E20))</f>
        <v/>
      </c>
      <c r="G20" s="13">
        <f>MAX(0,C20-F20)</f>
        <v/>
      </c>
    </row>
    <row r="21">
      <c r="A21" s="21" t="n">
        <v>2</v>
      </c>
      <c r="B21" s="21" t="inlineStr">
        <is>
          <t>02/01/2026</t>
        </is>
      </c>
      <c r="C21" s="13">
        <f>G20</f>
        <v/>
      </c>
      <c r="D21" s="13">
        <f>$B$10</f>
        <v/>
      </c>
      <c r="E21" s="13">
        <f>MAX(0,C21*$B$9/12)</f>
        <v/>
      </c>
      <c r="F21" s="13">
        <f>MAX(0,MIN(C21,D21-E21))</f>
        <v/>
      </c>
      <c r="G21" s="13">
        <f>MAX(0,C21-F21)</f>
        <v/>
      </c>
    </row>
    <row r="22">
      <c r="A22" s="21" t="n">
        <v>3</v>
      </c>
      <c r="B22" s="21" t="inlineStr">
        <is>
          <t>03/01/2026</t>
        </is>
      </c>
      <c r="C22" s="13">
        <f>G21</f>
        <v/>
      </c>
      <c r="D22" s="13">
        <f>$B$10</f>
        <v/>
      </c>
      <c r="E22" s="13">
        <f>MAX(0,C22*$B$9/12)</f>
        <v/>
      </c>
      <c r="F22" s="13">
        <f>MAX(0,MIN(C22,D22-E22))</f>
        <v/>
      </c>
      <c r="G22" s="13">
        <f>MAX(0,C22-F22)</f>
        <v/>
      </c>
    </row>
    <row r="23">
      <c r="A23" s="21" t="n">
        <v>4</v>
      </c>
      <c r="B23" s="21" t="inlineStr">
        <is>
          <t>04/01/2026</t>
        </is>
      </c>
      <c r="C23" s="13">
        <f>G22</f>
        <v/>
      </c>
      <c r="D23" s="13">
        <f>$B$10</f>
        <v/>
      </c>
      <c r="E23" s="13">
        <f>MAX(0,C23*$B$9/12)</f>
        <v/>
      </c>
      <c r="F23" s="13">
        <f>MAX(0,MIN(C23,D23-E23))</f>
        <v/>
      </c>
      <c r="G23" s="13">
        <f>MAX(0,C23-F23)</f>
        <v/>
      </c>
    </row>
    <row r="24">
      <c r="A24" s="21" t="n">
        <v>5</v>
      </c>
      <c r="B24" s="21" t="inlineStr">
        <is>
          <t>05/01/2026</t>
        </is>
      </c>
      <c r="C24" s="13">
        <f>G23</f>
        <v/>
      </c>
      <c r="D24" s="13">
        <f>$B$10</f>
        <v/>
      </c>
      <c r="E24" s="13">
        <f>MAX(0,C24*$B$9/12)</f>
        <v/>
      </c>
      <c r="F24" s="13">
        <f>MAX(0,MIN(C24,D24-E24))</f>
        <v/>
      </c>
      <c r="G24" s="13">
        <f>MAX(0,C24-F24)</f>
        <v/>
      </c>
    </row>
    <row r="25">
      <c r="A25" s="21" t="n">
        <v>6</v>
      </c>
      <c r="B25" s="21" t="inlineStr">
        <is>
          <t>06/01/2026</t>
        </is>
      </c>
      <c r="C25" s="13">
        <f>G24</f>
        <v/>
      </c>
      <c r="D25" s="13">
        <f>$B$10</f>
        <v/>
      </c>
      <c r="E25" s="13">
        <f>MAX(0,C25*$B$9/12)</f>
        <v/>
      </c>
      <c r="F25" s="13">
        <f>MAX(0,MIN(C25,D25-E25))</f>
        <v/>
      </c>
      <c r="G25" s="13">
        <f>MAX(0,C25-F25)</f>
        <v/>
      </c>
    </row>
    <row r="26">
      <c r="A26" s="21" t="n">
        <v>7</v>
      </c>
      <c r="B26" s="21" t="inlineStr">
        <is>
          <t>07/01/2026</t>
        </is>
      </c>
      <c r="C26" s="13">
        <f>G25</f>
        <v/>
      </c>
      <c r="D26" s="13">
        <f>$B$10</f>
        <v/>
      </c>
      <c r="E26" s="13">
        <f>MAX(0,C26*$B$9/12)</f>
        <v/>
      </c>
      <c r="F26" s="13">
        <f>MAX(0,MIN(C26,D26-E26))</f>
        <v/>
      </c>
      <c r="G26" s="13">
        <f>MAX(0,C26-F26)</f>
        <v/>
      </c>
    </row>
    <row r="27">
      <c r="A27" s="21" t="n">
        <v>8</v>
      </c>
      <c r="B27" s="21" t="inlineStr">
        <is>
          <t>08/01/2026</t>
        </is>
      </c>
      <c r="C27" s="13">
        <f>G26</f>
        <v/>
      </c>
      <c r="D27" s="13">
        <f>$B$10</f>
        <v/>
      </c>
      <c r="E27" s="13">
        <f>MAX(0,C27*$B$9/12)</f>
        <v/>
      </c>
      <c r="F27" s="13">
        <f>MAX(0,MIN(C27,D27-E27))</f>
        <v/>
      </c>
      <c r="G27" s="13">
        <f>MAX(0,C27-F27)</f>
        <v/>
      </c>
    </row>
    <row r="28">
      <c r="A28" s="21" t="n">
        <v>9</v>
      </c>
      <c r="B28" s="21" t="inlineStr">
        <is>
          <t>09/01/2026</t>
        </is>
      </c>
      <c r="C28" s="13">
        <f>G27</f>
        <v/>
      </c>
      <c r="D28" s="13">
        <f>$B$10</f>
        <v/>
      </c>
      <c r="E28" s="13">
        <f>MAX(0,C28*$B$9/12)</f>
        <v/>
      </c>
      <c r="F28" s="13">
        <f>MAX(0,MIN(C28,D28-E28))</f>
        <v/>
      </c>
      <c r="G28" s="13">
        <f>MAX(0,C28-F28)</f>
        <v/>
      </c>
    </row>
    <row r="29">
      <c r="A29" s="21" t="n">
        <v>10</v>
      </c>
      <c r="B29" s="21" t="inlineStr">
        <is>
          <t>10/01/2026</t>
        </is>
      </c>
      <c r="C29" s="13">
        <f>G28</f>
        <v/>
      </c>
      <c r="D29" s="13">
        <f>$B$10</f>
        <v/>
      </c>
      <c r="E29" s="13">
        <f>MAX(0,C29*$B$9/12)</f>
        <v/>
      </c>
      <c r="F29" s="13">
        <f>MAX(0,MIN(C29,D29-E29))</f>
        <v/>
      </c>
      <c r="G29" s="13">
        <f>MAX(0,C29-F29)</f>
        <v/>
      </c>
    </row>
    <row r="30">
      <c r="A30" s="21" t="n">
        <v>11</v>
      </c>
      <c r="B30" s="21" t="inlineStr">
        <is>
          <t>11/01/2026</t>
        </is>
      </c>
      <c r="C30" s="13">
        <f>G29</f>
        <v/>
      </c>
      <c r="D30" s="13">
        <f>$B$10</f>
        <v/>
      </c>
      <c r="E30" s="13">
        <f>MAX(0,C30*$B$9/12)</f>
        <v/>
      </c>
      <c r="F30" s="13">
        <f>MAX(0,MIN(C30,D30-E30))</f>
        <v/>
      </c>
      <c r="G30" s="13">
        <f>MAX(0,C30-F30)</f>
        <v/>
      </c>
    </row>
    <row r="31">
      <c r="A31" s="21" t="n">
        <v>12</v>
      </c>
      <c r="B31" s="21" t="inlineStr">
        <is>
          <t>12/01/2026</t>
        </is>
      </c>
      <c r="C31" s="13">
        <f>G30</f>
        <v/>
      </c>
      <c r="D31" s="13">
        <f>$B$10</f>
        <v/>
      </c>
      <c r="E31" s="13">
        <f>MAX(0,C31*$B$9/12)</f>
        <v/>
      </c>
      <c r="F31" s="13">
        <f>MAX(0,MIN(C31,D31-E31))</f>
        <v/>
      </c>
      <c r="G31" s="13">
        <f>MAX(0,C31-F31)</f>
        <v/>
      </c>
    </row>
    <row r="32">
      <c r="A32" s="22" t="inlineStr">
        <is>
          <t>2026 TOTAL</t>
        </is>
      </c>
      <c r="B32" s="23" t="n"/>
      <c r="C32" s="23" t="n"/>
      <c r="D32" s="23" t="n"/>
      <c r="E32" s="24">
        <f>SUM(E20:E31)</f>
        <v/>
      </c>
      <c r="F32" s="24">
        <f>SUM(F20:F31)</f>
        <v/>
      </c>
      <c r="G32" s="23" t="n"/>
    </row>
    <row r="33">
      <c r="A33" s="21" t="n">
        <v>13</v>
      </c>
      <c r="B33" s="21" t="inlineStr">
        <is>
          <t>01/01/2027</t>
        </is>
      </c>
      <c r="C33" s="13">
        <f>G32</f>
        <v/>
      </c>
      <c r="D33" s="13">
        <f>$B$10</f>
        <v/>
      </c>
      <c r="E33" s="13">
        <f>MAX(0,C33*$B$9/12)</f>
        <v/>
      </c>
      <c r="F33" s="13">
        <f>MAX(0,MIN(C33,D33-E33))</f>
        <v/>
      </c>
      <c r="G33" s="13">
        <f>MAX(0,C33-F33)</f>
        <v/>
      </c>
    </row>
    <row r="34">
      <c r="A34" s="21" t="n">
        <v>14</v>
      </c>
      <c r="B34" s="21" t="inlineStr">
        <is>
          <t>02/01/2027</t>
        </is>
      </c>
      <c r="C34" s="13">
        <f>G33</f>
        <v/>
      </c>
      <c r="D34" s="13">
        <f>$B$10</f>
        <v/>
      </c>
      <c r="E34" s="13">
        <f>MAX(0,C34*$B$9/12)</f>
        <v/>
      </c>
      <c r="F34" s="13">
        <f>MAX(0,MIN(C34,D34-E34))</f>
        <v/>
      </c>
      <c r="G34" s="13">
        <f>MAX(0,C34-F34)</f>
        <v/>
      </c>
    </row>
    <row r="35">
      <c r="A35" s="21" t="n">
        <v>15</v>
      </c>
      <c r="B35" s="21" t="inlineStr">
        <is>
          <t>03/01/2027</t>
        </is>
      </c>
      <c r="C35" s="13">
        <f>G34</f>
        <v/>
      </c>
      <c r="D35" s="13">
        <f>$B$10</f>
        <v/>
      </c>
      <c r="E35" s="13">
        <f>MAX(0,C35*$B$9/12)</f>
        <v/>
      </c>
      <c r="F35" s="13">
        <f>MAX(0,MIN(C35,D35-E35))</f>
        <v/>
      </c>
      <c r="G35" s="13">
        <f>MAX(0,C35-F35)</f>
        <v/>
      </c>
    </row>
    <row r="36">
      <c r="A36" s="21" t="n">
        <v>16</v>
      </c>
      <c r="B36" s="21" t="inlineStr">
        <is>
          <t>04/01/2027</t>
        </is>
      </c>
      <c r="C36" s="13">
        <f>G35</f>
        <v/>
      </c>
      <c r="D36" s="13">
        <f>$B$10</f>
        <v/>
      </c>
      <c r="E36" s="13">
        <f>MAX(0,C36*$B$9/12)</f>
        <v/>
      </c>
      <c r="F36" s="13">
        <f>MAX(0,MIN(C36,D36-E36))</f>
        <v/>
      </c>
      <c r="G36" s="13">
        <f>MAX(0,C36-F36)</f>
        <v/>
      </c>
    </row>
    <row r="37">
      <c r="A37" s="21" t="n">
        <v>17</v>
      </c>
      <c r="B37" s="21" t="inlineStr">
        <is>
          <t>05/01/2027</t>
        </is>
      </c>
      <c r="C37" s="13">
        <f>G36</f>
        <v/>
      </c>
      <c r="D37" s="13">
        <f>$B$10</f>
        <v/>
      </c>
      <c r="E37" s="13">
        <f>MAX(0,C37*$B$9/12)</f>
        <v/>
      </c>
      <c r="F37" s="13">
        <f>MAX(0,MIN(C37,D37-E37))</f>
        <v/>
      </c>
      <c r="G37" s="13">
        <f>MAX(0,C37-F37)</f>
        <v/>
      </c>
    </row>
    <row r="38">
      <c r="A38" s="21" t="n">
        <v>18</v>
      </c>
      <c r="B38" s="21" t="inlineStr">
        <is>
          <t>06/01/2027</t>
        </is>
      </c>
      <c r="C38" s="13">
        <f>G37</f>
        <v/>
      </c>
      <c r="D38" s="13">
        <f>$B$10</f>
        <v/>
      </c>
      <c r="E38" s="13">
        <f>MAX(0,C38*$B$9/12)</f>
        <v/>
      </c>
      <c r="F38" s="13">
        <f>MAX(0,MIN(C38,D38-E38))</f>
        <v/>
      </c>
      <c r="G38" s="13">
        <f>MAX(0,C38-F38)</f>
        <v/>
      </c>
    </row>
    <row r="39">
      <c r="A39" s="21" t="n">
        <v>19</v>
      </c>
      <c r="B39" s="21" t="inlineStr">
        <is>
          <t>07/01/2027</t>
        </is>
      </c>
      <c r="C39" s="13">
        <f>G38</f>
        <v/>
      </c>
      <c r="D39" s="13">
        <f>$B$10</f>
        <v/>
      </c>
      <c r="E39" s="13">
        <f>MAX(0,C39*$B$9/12)</f>
        <v/>
      </c>
      <c r="F39" s="13">
        <f>MAX(0,MIN(C39,D39-E39))</f>
        <v/>
      </c>
      <c r="G39" s="13">
        <f>MAX(0,C39-F39)</f>
        <v/>
      </c>
    </row>
    <row r="40">
      <c r="A40" s="21" t="n">
        <v>20</v>
      </c>
      <c r="B40" s="21" t="inlineStr">
        <is>
          <t>08/01/2027</t>
        </is>
      </c>
      <c r="C40" s="13">
        <f>G39</f>
        <v/>
      </c>
      <c r="D40" s="13">
        <f>$B$10</f>
        <v/>
      </c>
      <c r="E40" s="13">
        <f>MAX(0,C40*$B$9/12)</f>
        <v/>
      </c>
      <c r="F40" s="13">
        <f>MAX(0,MIN(C40,D40-E40))</f>
        <v/>
      </c>
      <c r="G40" s="13">
        <f>MAX(0,C40-F40)</f>
        <v/>
      </c>
    </row>
    <row r="41">
      <c r="A41" s="21" t="n">
        <v>21</v>
      </c>
      <c r="B41" s="21" t="inlineStr">
        <is>
          <t>09/01/2027</t>
        </is>
      </c>
      <c r="C41" s="13">
        <f>G40</f>
        <v/>
      </c>
      <c r="D41" s="13">
        <f>$B$10</f>
        <v/>
      </c>
      <c r="E41" s="13">
        <f>MAX(0,C41*$B$9/12)</f>
        <v/>
      </c>
      <c r="F41" s="13">
        <f>MAX(0,MIN(C41,D41-E41))</f>
        <v/>
      </c>
      <c r="G41" s="13">
        <f>MAX(0,C41-F41)</f>
        <v/>
      </c>
    </row>
    <row r="42">
      <c r="A42" s="21" t="n">
        <v>22</v>
      </c>
      <c r="B42" s="21" t="inlineStr">
        <is>
          <t>10/01/2027</t>
        </is>
      </c>
      <c r="C42" s="13">
        <f>G41</f>
        <v/>
      </c>
      <c r="D42" s="13">
        <f>$B$10</f>
        <v/>
      </c>
      <c r="E42" s="13">
        <f>MAX(0,C42*$B$9/12)</f>
        <v/>
      </c>
      <c r="F42" s="13">
        <f>MAX(0,MIN(C42,D42-E42))</f>
        <v/>
      </c>
      <c r="G42" s="13">
        <f>MAX(0,C42-F42)</f>
        <v/>
      </c>
    </row>
    <row r="43">
      <c r="A43" s="21" t="n">
        <v>23</v>
      </c>
      <c r="B43" s="21" t="inlineStr">
        <is>
          <t>11/01/2027</t>
        </is>
      </c>
      <c r="C43" s="13">
        <f>G42</f>
        <v/>
      </c>
      <c r="D43" s="13">
        <f>$B$10</f>
        <v/>
      </c>
      <c r="E43" s="13">
        <f>MAX(0,C43*$B$9/12)</f>
        <v/>
      </c>
      <c r="F43" s="13">
        <f>MAX(0,MIN(C43,D43-E43))</f>
        <v/>
      </c>
      <c r="G43" s="13">
        <f>MAX(0,C43-F43)</f>
        <v/>
      </c>
    </row>
    <row r="44">
      <c r="A44" s="21" t="n">
        <v>24</v>
      </c>
      <c r="B44" s="21" t="inlineStr">
        <is>
          <t>12/01/2027</t>
        </is>
      </c>
      <c r="C44" s="13">
        <f>G43</f>
        <v/>
      </c>
      <c r="D44" s="13">
        <f>$B$10</f>
        <v/>
      </c>
      <c r="E44" s="13">
        <f>MAX(0,C44*$B$9/12)</f>
        <v/>
      </c>
      <c r="F44" s="13">
        <f>MAX(0,MIN(C44,D44-E44))</f>
        <v/>
      </c>
      <c r="G44" s="13">
        <f>MAX(0,C44-F44)</f>
        <v/>
      </c>
    </row>
    <row r="45">
      <c r="A45" s="22" t="inlineStr">
        <is>
          <t>2027 TOTAL</t>
        </is>
      </c>
      <c r="B45" s="23" t="n"/>
      <c r="C45" s="23" t="n"/>
      <c r="D45" s="23" t="n"/>
      <c r="E45" s="24">
        <f>SUM(E33:E44)</f>
        <v/>
      </c>
      <c r="F45" s="24">
        <f>SUM(F33:F44)</f>
        <v/>
      </c>
      <c r="G45" s="23" t="n"/>
    </row>
    <row r="46">
      <c r="A46" s="21" t="n">
        <v>25</v>
      </c>
      <c r="B46" s="21" t="inlineStr">
        <is>
          <t>01/01/2028</t>
        </is>
      </c>
      <c r="C46" s="13">
        <f>G45</f>
        <v/>
      </c>
      <c r="D46" s="13">
        <f>$B$10</f>
        <v/>
      </c>
      <c r="E46" s="13">
        <f>MAX(0,C46*$B$9/12)</f>
        <v/>
      </c>
      <c r="F46" s="13">
        <f>MAX(0,MIN(C46,D46-E46))</f>
        <v/>
      </c>
      <c r="G46" s="13">
        <f>MAX(0,C46-F46)</f>
        <v/>
      </c>
    </row>
    <row r="47">
      <c r="A47" s="21" t="n">
        <v>26</v>
      </c>
      <c r="B47" s="21" t="inlineStr">
        <is>
          <t>02/01/2028</t>
        </is>
      </c>
      <c r="C47" s="13">
        <f>G46</f>
        <v/>
      </c>
      <c r="D47" s="13">
        <f>$B$10</f>
        <v/>
      </c>
      <c r="E47" s="13">
        <f>MAX(0,C47*$B$9/12)</f>
        <v/>
      </c>
      <c r="F47" s="13">
        <f>MAX(0,MIN(C47,D47-E47))</f>
        <v/>
      </c>
      <c r="G47" s="13">
        <f>MAX(0,C47-F47)</f>
        <v/>
      </c>
    </row>
    <row r="48">
      <c r="A48" s="21" t="n">
        <v>27</v>
      </c>
      <c r="B48" s="21" t="inlineStr">
        <is>
          <t>03/01/2028</t>
        </is>
      </c>
      <c r="C48" s="13">
        <f>G47</f>
        <v/>
      </c>
      <c r="D48" s="13">
        <f>$B$10</f>
        <v/>
      </c>
      <c r="E48" s="13">
        <f>MAX(0,C48*$B$9/12)</f>
        <v/>
      </c>
      <c r="F48" s="13">
        <f>MAX(0,MIN(C48,D48-E48))</f>
        <v/>
      </c>
      <c r="G48" s="13">
        <f>MAX(0,C48-F48)</f>
        <v/>
      </c>
    </row>
    <row r="49">
      <c r="A49" s="21" t="n">
        <v>28</v>
      </c>
      <c r="B49" s="21" t="inlineStr">
        <is>
          <t>04/01/2028</t>
        </is>
      </c>
      <c r="C49" s="13">
        <f>G48</f>
        <v/>
      </c>
      <c r="D49" s="13">
        <f>$B$10</f>
        <v/>
      </c>
      <c r="E49" s="13">
        <f>MAX(0,C49*$B$9/12)</f>
        <v/>
      </c>
      <c r="F49" s="13">
        <f>MAX(0,MIN(C49,D49-E49))</f>
        <v/>
      </c>
      <c r="G49" s="13">
        <f>MAX(0,C49-F49)</f>
        <v/>
      </c>
    </row>
    <row r="50">
      <c r="A50" s="21" t="n">
        <v>29</v>
      </c>
      <c r="B50" s="21" t="inlineStr">
        <is>
          <t>05/01/2028</t>
        </is>
      </c>
      <c r="C50" s="13">
        <f>G49</f>
        <v/>
      </c>
      <c r="D50" s="13">
        <f>$B$10</f>
        <v/>
      </c>
      <c r="E50" s="13">
        <f>MAX(0,C50*$B$9/12)</f>
        <v/>
      </c>
      <c r="F50" s="13">
        <f>MAX(0,MIN(C50,D50-E50))</f>
        <v/>
      </c>
      <c r="G50" s="13">
        <f>MAX(0,C50-F50)</f>
        <v/>
      </c>
    </row>
    <row r="51">
      <c r="A51" s="21" t="n">
        <v>30</v>
      </c>
      <c r="B51" s="21" t="inlineStr">
        <is>
          <t>06/01/2028</t>
        </is>
      </c>
      <c r="C51" s="13">
        <f>G50</f>
        <v/>
      </c>
      <c r="D51" s="13">
        <f>$B$10</f>
        <v/>
      </c>
      <c r="E51" s="13">
        <f>MAX(0,C51*$B$9/12)</f>
        <v/>
      </c>
      <c r="F51" s="13">
        <f>MAX(0,MIN(C51,D51-E51))</f>
        <v/>
      </c>
      <c r="G51" s="13">
        <f>MAX(0,C51-F51)</f>
        <v/>
      </c>
    </row>
    <row r="52">
      <c r="A52" s="21" t="n">
        <v>31</v>
      </c>
      <c r="B52" s="21" t="inlineStr">
        <is>
          <t>07/01/2028</t>
        </is>
      </c>
      <c r="C52" s="13">
        <f>G51</f>
        <v/>
      </c>
      <c r="D52" s="13">
        <f>$B$10</f>
        <v/>
      </c>
      <c r="E52" s="13">
        <f>MAX(0,C52*$B$9/12)</f>
        <v/>
      </c>
      <c r="F52" s="13">
        <f>MAX(0,MIN(C52,D52-E52))</f>
        <v/>
      </c>
      <c r="G52" s="13">
        <f>MAX(0,C52-F52)</f>
        <v/>
      </c>
    </row>
    <row r="53">
      <c r="A53" s="21" t="n">
        <v>32</v>
      </c>
      <c r="B53" s="21" t="inlineStr">
        <is>
          <t>08/01/2028</t>
        </is>
      </c>
      <c r="C53" s="13">
        <f>G52</f>
        <v/>
      </c>
      <c r="D53" s="13">
        <f>$B$10</f>
        <v/>
      </c>
      <c r="E53" s="13">
        <f>MAX(0,C53*$B$9/12)</f>
        <v/>
      </c>
      <c r="F53" s="13">
        <f>MAX(0,MIN(C53,D53-E53))</f>
        <v/>
      </c>
      <c r="G53" s="13">
        <f>MAX(0,C53-F53)</f>
        <v/>
      </c>
    </row>
    <row r="54">
      <c r="A54" s="21" t="n">
        <v>33</v>
      </c>
      <c r="B54" s="21" t="inlineStr">
        <is>
          <t>09/01/2028</t>
        </is>
      </c>
      <c r="C54" s="13">
        <f>G53</f>
        <v/>
      </c>
      <c r="D54" s="13">
        <f>$B$10</f>
        <v/>
      </c>
      <c r="E54" s="13">
        <f>MAX(0,C54*$B$9/12)</f>
        <v/>
      </c>
      <c r="F54" s="13">
        <f>MAX(0,MIN(C54,D54-E54))</f>
        <v/>
      </c>
      <c r="G54" s="13">
        <f>MAX(0,C54-F54)</f>
        <v/>
      </c>
    </row>
    <row r="55">
      <c r="A55" s="21" t="n">
        <v>34</v>
      </c>
      <c r="B55" s="21" t="inlineStr">
        <is>
          <t>10/01/2028</t>
        </is>
      </c>
      <c r="C55" s="13">
        <f>G54</f>
        <v/>
      </c>
      <c r="D55" s="13">
        <f>$B$10</f>
        <v/>
      </c>
      <c r="E55" s="13">
        <f>MAX(0,C55*$B$9/12)</f>
        <v/>
      </c>
      <c r="F55" s="13">
        <f>MAX(0,MIN(C55,D55-E55))</f>
        <v/>
      </c>
      <c r="G55" s="13">
        <f>MAX(0,C55-F55)</f>
        <v/>
      </c>
    </row>
    <row r="56">
      <c r="A56" s="21" t="n">
        <v>35</v>
      </c>
      <c r="B56" s="21" t="inlineStr">
        <is>
          <t>11/01/2028</t>
        </is>
      </c>
      <c r="C56" s="13">
        <f>G55</f>
        <v/>
      </c>
      <c r="D56" s="13">
        <f>$B$10</f>
        <v/>
      </c>
      <c r="E56" s="13">
        <f>MAX(0,C56*$B$9/12)</f>
        <v/>
      </c>
      <c r="F56" s="13">
        <f>MAX(0,MIN(C56,D56-E56))</f>
        <v/>
      </c>
      <c r="G56" s="13">
        <f>MAX(0,C56-F56)</f>
        <v/>
      </c>
    </row>
    <row r="57">
      <c r="A57" s="21" t="n">
        <v>36</v>
      </c>
      <c r="B57" s="21" t="inlineStr">
        <is>
          <t>12/01/2028</t>
        </is>
      </c>
      <c r="C57" s="13">
        <f>G56</f>
        <v/>
      </c>
      <c r="D57" s="13">
        <f>$B$10</f>
        <v/>
      </c>
      <c r="E57" s="13">
        <f>MAX(0,C57*$B$9/12)</f>
        <v/>
      </c>
      <c r="F57" s="13">
        <f>MAX(0,MIN(C57,D57-E57))</f>
        <v/>
      </c>
      <c r="G57" s="13">
        <f>MAX(0,C57-F57)</f>
        <v/>
      </c>
    </row>
    <row r="58">
      <c r="A58" s="22" t="inlineStr">
        <is>
          <t>2028 TOTAL</t>
        </is>
      </c>
      <c r="B58" s="23" t="n"/>
      <c r="C58" s="23" t="n"/>
      <c r="D58" s="23" t="n"/>
      <c r="E58" s="24">
        <f>SUM(E46:E57)</f>
        <v/>
      </c>
      <c r="F58" s="24">
        <f>SUM(F46:F57)</f>
        <v/>
      </c>
      <c r="G58" s="23" t="n"/>
    </row>
    <row r="59">
      <c r="A59" s="21" t="n">
        <v>37</v>
      </c>
      <c r="B59" s="21" t="inlineStr">
        <is>
          <t>01/01/2029</t>
        </is>
      </c>
      <c r="C59" s="13">
        <f>G58</f>
        <v/>
      </c>
      <c r="D59" s="13">
        <f>$B$10</f>
        <v/>
      </c>
      <c r="E59" s="13">
        <f>MAX(0,C59*$B$9/12)</f>
        <v/>
      </c>
      <c r="F59" s="13">
        <f>MAX(0,MIN(C59,D59-E59))</f>
        <v/>
      </c>
      <c r="G59" s="13">
        <f>MAX(0,C59-F59)</f>
        <v/>
      </c>
    </row>
    <row r="60">
      <c r="A60" s="21" t="n">
        <v>38</v>
      </c>
      <c r="B60" s="21" t="inlineStr">
        <is>
          <t>02/01/2029</t>
        </is>
      </c>
      <c r="C60" s="13">
        <f>G59</f>
        <v/>
      </c>
      <c r="D60" s="13">
        <f>$B$10</f>
        <v/>
      </c>
      <c r="E60" s="13">
        <f>MAX(0,C60*$B$9/12)</f>
        <v/>
      </c>
      <c r="F60" s="13">
        <f>MAX(0,MIN(C60,D60-E60))</f>
        <v/>
      </c>
      <c r="G60" s="13">
        <f>MAX(0,C60-F60)</f>
        <v/>
      </c>
    </row>
    <row r="61">
      <c r="A61" s="21" t="n">
        <v>39</v>
      </c>
      <c r="B61" s="21" t="inlineStr">
        <is>
          <t>03/01/2029</t>
        </is>
      </c>
      <c r="C61" s="13">
        <f>G60</f>
        <v/>
      </c>
      <c r="D61" s="13">
        <f>$B$10</f>
        <v/>
      </c>
      <c r="E61" s="13">
        <f>MAX(0,C61*$B$9/12)</f>
        <v/>
      </c>
      <c r="F61" s="13">
        <f>MAX(0,MIN(C61,D61-E61))</f>
        <v/>
      </c>
      <c r="G61" s="13">
        <f>MAX(0,C61-F61)</f>
        <v/>
      </c>
    </row>
    <row r="62">
      <c r="A62" s="21" t="n">
        <v>40</v>
      </c>
      <c r="B62" s="21" t="inlineStr">
        <is>
          <t>04/01/2029</t>
        </is>
      </c>
      <c r="C62" s="13">
        <f>G61</f>
        <v/>
      </c>
      <c r="D62" s="13">
        <f>$B$10</f>
        <v/>
      </c>
      <c r="E62" s="13">
        <f>MAX(0,C62*$B$9/12)</f>
        <v/>
      </c>
      <c r="F62" s="13">
        <f>MAX(0,MIN(C62,D62-E62))</f>
        <v/>
      </c>
      <c r="G62" s="13">
        <f>MAX(0,C62-F62)</f>
        <v/>
      </c>
    </row>
    <row r="63">
      <c r="A63" s="21" t="n">
        <v>41</v>
      </c>
      <c r="B63" s="21" t="inlineStr">
        <is>
          <t>05/01/2029</t>
        </is>
      </c>
      <c r="C63" s="13">
        <f>G62</f>
        <v/>
      </c>
      <c r="D63" s="13">
        <f>$B$10</f>
        <v/>
      </c>
      <c r="E63" s="13">
        <f>MAX(0,C63*$B$9/12)</f>
        <v/>
      </c>
      <c r="F63" s="13">
        <f>MAX(0,MIN(C63,D63-E63))</f>
        <v/>
      </c>
      <c r="G63" s="13">
        <f>MAX(0,C63-F63)</f>
        <v/>
      </c>
    </row>
    <row r="64">
      <c r="A64" s="21" t="n">
        <v>42</v>
      </c>
      <c r="B64" s="21" t="inlineStr">
        <is>
          <t>06/01/2029</t>
        </is>
      </c>
      <c r="C64" s="13">
        <f>G63</f>
        <v/>
      </c>
      <c r="D64" s="13">
        <f>$B$10</f>
        <v/>
      </c>
      <c r="E64" s="13">
        <f>MAX(0,C64*$B$9/12)</f>
        <v/>
      </c>
      <c r="F64" s="13">
        <f>MAX(0,MIN(C64,D64-E64))</f>
        <v/>
      </c>
      <c r="G64" s="13">
        <f>MAX(0,C64-F64)</f>
        <v/>
      </c>
    </row>
    <row r="65">
      <c r="A65" s="21" t="n">
        <v>43</v>
      </c>
      <c r="B65" s="21" t="inlineStr">
        <is>
          <t>07/01/2029</t>
        </is>
      </c>
      <c r="C65" s="13">
        <f>G64</f>
        <v/>
      </c>
      <c r="D65" s="13">
        <f>$B$10</f>
        <v/>
      </c>
      <c r="E65" s="13">
        <f>MAX(0,C65*$B$9/12)</f>
        <v/>
      </c>
      <c r="F65" s="13">
        <f>MAX(0,MIN(C65,D65-E65))</f>
        <v/>
      </c>
      <c r="G65" s="13">
        <f>MAX(0,C65-F65)</f>
        <v/>
      </c>
    </row>
    <row r="66">
      <c r="A66" s="21" t="n">
        <v>44</v>
      </c>
      <c r="B66" s="21" t="inlineStr">
        <is>
          <t>08/01/2029</t>
        </is>
      </c>
      <c r="C66" s="13">
        <f>G65</f>
        <v/>
      </c>
      <c r="D66" s="13">
        <f>$B$10</f>
        <v/>
      </c>
      <c r="E66" s="13">
        <f>MAX(0,C66*$B$9/12)</f>
        <v/>
      </c>
      <c r="F66" s="13">
        <f>MAX(0,MIN(C66,D66-E66))</f>
        <v/>
      </c>
      <c r="G66" s="13">
        <f>MAX(0,C66-F66)</f>
        <v/>
      </c>
    </row>
    <row r="67">
      <c r="A67" s="21" t="n">
        <v>45</v>
      </c>
      <c r="B67" s="21" t="inlineStr">
        <is>
          <t>09/01/2029</t>
        </is>
      </c>
      <c r="C67" s="13">
        <f>G66</f>
        <v/>
      </c>
      <c r="D67" s="13">
        <f>$B$10</f>
        <v/>
      </c>
      <c r="E67" s="13">
        <f>MAX(0,C67*$B$9/12)</f>
        <v/>
      </c>
      <c r="F67" s="13">
        <f>MAX(0,MIN(C67,D67-E67))</f>
        <v/>
      </c>
      <c r="G67" s="13">
        <f>MAX(0,C67-F67)</f>
        <v/>
      </c>
    </row>
    <row r="68">
      <c r="A68" s="21" t="n">
        <v>46</v>
      </c>
      <c r="B68" s="21" t="inlineStr">
        <is>
          <t>10/01/2029</t>
        </is>
      </c>
      <c r="C68" s="13">
        <f>G67</f>
        <v/>
      </c>
      <c r="D68" s="13">
        <f>$B$10</f>
        <v/>
      </c>
      <c r="E68" s="13">
        <f>MAX(0,C68*$B$9/12)</f>
        <v/>
      </c>
      <c r="F68" s="13">
        <f>MAX(0,MIN(C68,D68-E68))</f>
        <v/>
      </c>
      <c r="G68" s="13">
        <f>MAX(0,C68-F68)</f>
        <v/>
      </c>
    </row>
    <row r="69">
      <c r="A69" s="21" t="n">
        <v>47</v>
      </c>
      <c r="B69" s="21" t="inlineStr">
        <is>
          <t>11/01/2029</t>
        </is>
      </c>
      <c r="C69" s="13">
        <f>G68</f>
        <v/>
      </c>
      <c r="D69" s="13">
        <f>$B$10</f>
        <v/>
      </c>
      <c r="E69" s="13">
        <f>MAX(0,C69*$B$9/12)</f>
        <v/>
      </c>
      <c r="F69" s="13">
        <f>MAX(0,MIN(C69,D69-E69))</f>
        <v/>
      </c>
      <c r="G69" s="13">
        <f>MAX(0,C69-F69)</f>
        <v/>
      </c>
    </row>
    <row r="70">
      <c r="A70" s="21" t="n">
        <v>48</v>
      </c>
      <c r="B70" s="21" t="inlineStr">
        <is>
          <t>12/01/2029</t>
        </is>
      </c>
      <c r="C70" s="13">
        <f>G69</f>
        <v/>
      </c>
      <c r="D70" s="13">
        <f>$B$10</f>
        <v/>
      </c>
      <c r="E70" s="13">
        <f>MAX(0,C70*$B$9/12)</f>
        <v/>
      </c>
      <c r="F70" s="13">
        <f>MAX(0,MIN(C70,D70-E70))</f>
        <v/>
      </c>
      <c r="G70" s="13">
        <f>MAX(0,C70-F70)</f>
        <v/>
      </c>
    </row>
    <row r="71">
      <c r="A71" s="22" t="inlineStr">
        <is>
          <t>2029 TOTAL</t>
        </is>
      </c>
      <c r="B71" s="23" t="n"/>
      <c r="C71" s="23" t="n"/>
      <c r="D71" s="23" t="n"/>
      <c r="E71" s="24">
        <f>SUM(E59:E70)</f>
        <v/>
      </c>
      <c r="F71" s="24">
        <f>SUM(F59:F70)</f>
        <v/>
      </c>
      <c r="G71" s="23" t="n"/>
    </row>
    <row r="72">
      <c r="A72" s="21" t="n">
        <v>49</v>
      </c>
      <c r="B72" s="21" t="inlineStr">
        <is>
          <t>01/01/2030</t>
        </is>
      </c>
      <c r="C72" s="13">
        <f>G71</f>
        <v/>
      </c>
      <c r="D72" s="13">
        <f>$B$10</f>
        <v/>
      </c>
      <c r="E72" s="13">
        <f>MAX(0,C72*$B$9/12)</f>
        <v/>
      </c>
      <c r="F72" s="13">
        <f>MAX(0,MIN(C72,D72-E72))</f>
        <v/>
      </c>
      <c r="G72" s="13">
        <f>MAX(0,C72-F72)</f>
        <v/>
      </c>
    </row>
    <row r="73">
      <c r="A73" s="21" t="n">
        <v>50</v>
      </c>
      <c r="B73" s="21" t="inlineStr">
        <is>
          <t>02/01/2030</t>
        </is>
      </c>
      <c r="C73" s="13">
        <f>G72</f>
        <v/>
      </c>
      <c r="D73" s="13">
        <f>$B$10</f>
        <v/>
      </c>
      <c r="E73" s="13">
        <f>MAX(0,C73*$B$9/12)</f>
        <v/>
      </c>
      <c r="F73" s="13">
        <f>MAX(0,MIN(C73,D73-E73))</f>
        <v/>
      </c>
      <c r="G73" s="13">
        <f>MAX(0,C73-F73)</f>
        <v/>
      </c>
    </row>
    <row r="74">
      <c r="A74" s="21" t="n">
        <v>51</v>
      </c>
      <c r="B74" s="21" t="inlineStr">
        <is>
          <t>03/01/2030</t>
        </is>
      </c>
      <c r="C74" s="13">
        <f>G73</f>
        <v/>
      </c>
      <c r="D74" s="13">
        <f>$B$10</f>
        <v/>
      </c>
      <c r="E74" s="13">
        <f>MAX(0,C74*$B$9/12)</f>
        <v/>
      </c>
      <c r="F74" s="13">
        <f>MAX(0,MIN(C74,D74-E74))</f>
        <v/>
      </c>
      <c r="G74" s="13">
        <f>MAX(0,C74-F74)</f>
        <v/>
      </c>
    </row>
    <row r="75">
      <c r="A75" s="21" t="n">
        <v>52</v>
      </c>
      <c r="B75" s="21" t="inlineStr">
        <is>
          <t>04/01/2030</t>
        </is>
      </c>
      <c r="C75" s="13">
        <f>G74</f>
        <v/>
      </c>
      <c r="D75" s="13">
        <f>$B$10</f>
        <v/>
      </c>
      <c r="E75" s="13">
        <f>MAX(0,C75*$B$9/12)</f>
        <v/>
      </c>
      <c r="F75" s="13">
        <f>MAX(0,MIN(C75,D75-E75))</f>
        <v/>
      </c>
      <c r="G75" s="13">
        <f>MAX(0,C75-F75)</f>
        <v/>
      </c>
    </row>
    <row r="76">
      <c r="A76" s="21" t="n">
        <v>53</v>
      </c>
      <c r="B76" s="21" t="inlineStr">
        <is>
          <t>05/01/2030</t>
        </is>
      </c>
      <c r="C76" s="13">
        <f>G75</f>
        <v/>
      </c>
      <c r="D76" s="13">
        <f>$B$10</f>
        <v/>
      </c>
      <c r="E76" s="13">
        <f>MAX(0,C76*$B$9/12)</f>
        <v/>
      </c>
      <c r="F76" s="13">
        <f>MAX(0,MIN(C76,D76-E76))</f>
        <v/>
      </c>
      <c r="G76" s="13">
        <f>MAX(0,C76-F76)</f>
        <v/>
      </c>
    </row>
    <row r="77">
      <c r="A77" s="21" t="n">
        <v>54</v>
      </c>
      <c r="B77" s="21" t="inlineStr">
        <is>
          <t>06/01/2030</t>
        </is>
      </c>
      <c r="C77" s="13">
        <f>G76</f>
        <v/>
      </c>
      <c r="D77" s="13">
        <f>$B$10</f>
        <v/>
      </c>
      <c r="E77" s="13">
        <f>MAX(0,C77*$B$9/12)</f>
        <v/>
      </c>
      <c r="F77" s="13">
        <f>MAX(0,MIN(C77,D77-E77))</f>
        <v/>
      </c>
      <c r="G77" s="13">
        <f>MAX(0,C77-F77)</f>
        <v/>
      </c>
    </row>
    <row r="78">
      <c r="A78" s="21" t="n">
        <v>55</v>
      </c>
      <c r="B78" s="21" t="inlineStr">
        <is>
          <t>07/01/2030</t>
        </is>
      </c>
      <c r="C78" s="13">
        <f>G77</f>
        <v/>
      </c>
      <c r="D78" s="13">
        <f>$B$10</f>
        <v/>
      </c>
      <c r="E78" s="13">
        <f>MAX(0,C78*$B$9/12)</f>
        <v/>
      </c>
      <c r="F78" s="13">
        <f>MAX(0,MIN(C78,D78-E78))</f>
        <v/>
      </c>
      <c r="G78" s="13">
        <f>MAX(0,C78-F78)</f>
        <v/>
      </c>
    </row>
    <row r="79">
      <c r="A79" s="21" t="n">
        <v>56</v>
      </c>
      <c r="B79" s="21" t="inlineStr">
        <is>
          <t>08/01/2030</t>
        </is>
      </c>
      <c r="C79" s="13">
        <f>G78</f>
        <v/>
      </c>
      <c r="D79" s="13">
        <f>$B$10</f>
        <v/>
      </c>
      <c r="E79" s="13">
        <f>MAX(0,C79*$B$9/12)</f>
        <v/>
      </c>
      <c r="F79" s="13">
        <f>MAX(0,MIN(C79,D79-E79))</f>
        <v/>
      </c>
      <c r="G79" s="13">
        <f>MAX(0,C79-F79)</f>
        <v/>
      </c>
    </row>
    <row r="80">
      <c r="A80" s="21" t="n">
        <v>57</v>
      </c>
      <c r="B80" s="21" t="inlineStr">
        <is>
          <t>09/01/2030</t>
        </is>
      </c>
      <c r="C80" s="13">
        <f>G79</f>
        <v/>
      </c>
      <c r="D80" s="13">
        <f>$B$10</f>
        <v/>
      </c>
      <c r="E80" s="13">
        <f>MAX(0,C80*$B$9/12)</f>
        <v/>
      </c>
      <c r="F80" s="13">
        <f>MAX(0,MIN(C80,D80-E80))</f>
        <v/>
      </c>
      <c r="G80" s="13">
        <f>MAX(0,C80-F80)</f>
        <v/>
      </c>
    </row>
    <row r="81">
      <c r="A81" s="21" t="n">
        <v>58</v>
      </c>
      <c r="B81" s="21" t="inlineStr">
        <is>
          <t>10/01/2030</t>
        </is>
      </c>
      <c r="C81" s="13">
        <f>G80</f>
        <v/>
      </c>
      <c r="D81" s="13">
        <f>$B$10</f>
        <v/>
      </c>
      <c r="E81" s="13">
        <f>MAX(0,C81*$B$9/12)</f>
        <v/>
      </c>
      <c r="F81" s="13">
        <f>MAX(0,MIN(C81,D81-E81))</f>
        <v/>
      </c>
      <c r="G81" s="13">
        <f>MAX(0,C81-F81)</f>
        <v/>
      </c>
    </row>
    <row r="82">
      <c r="A82" s="21" t="n">
        <v>59</v>
      </c>
      <c r="B82" s="21" t="inlineStr">
        <is>
          <t>11/01/2030</t>
        </is>
      </c>
      <c r="C82" s="13">
        <f>G81</f>
        <v/>
      </c>
      <c r="D82" s="13">
        <f>$B$10</f>
        <v/>
      </c>
      <c r="E82" s="13">
        <f>MAX(0,C82*$B$9/12)</f>
        <v/>
      </c>
      <c r="F82" s="13">
        <f>MAX(0,MIN(C82,D82-E82))</f>
        <v/>
      </c>
      <c r="G82" s="13">
        <f>MAX(0,C82-F82)</f>
        <v/>
      </c>
    </row>
    <row r="83">
      <c r="A83" s="21" t="n">
        <v>60</v>
      </c>
      <c r="B83" s="21" t="inlineStr">
        <is>
          <t>12/01/2030</t>
        </is>
      </c>
      <c r="C83" s="13">
        <f>G82</f>
        <v/>
      </c>
      <c r="D83" s="13">
        <f>$B$10</f>
        <v/>
      </c>
      <c r="E83" s="13">
        <f>MAX(0,C83*$B$9/12)</f>
        <v/>
      </c>
      <c r="F83" s="13">
        <f>MAX(0,MIN(C83,D83-E83))</f>
        <v/>
      </c>
      <c r="G83" s="13">
        <f>MAX(0,C83-F83)</f>
        <v/>
      </c>
    </row>
    <row r="84">
      <c r="A84" s="22" t="inlineStr">
        <is>
          <t>2030 TOTAL</t>
        </is>
      </c>
      <c r="B84" s="23" t="n"/>
      <c r="C84" s="23" t="n"/>
      <c r="D84" s="23" t="n"/>
      <c r="E84" s="24">
        <f>SUM(E72:E83)</f>
        <v/>
      </c>
      <c r="F84" s="24">
        <f>SUM(F72:F83)</f>
        <v/>
      </c>
      <c r="G84" s="23" t="n"/>
    </row>
    <row r="85">
      <c r="A85" s="21" t="n">
        <v>61</v>
      </c>
      <c r="B85" s="21" t="inlineStr">
        <is>
          <t>01/01/2031</t>
        </is>
      </c>
      <c r="C85" s="13">
        <f>G84</f>
        <v/>
      </c>
      <c r="D85" s="13">
        <f>$B$10</f>
        <v/>
      </c>
      <c r="E85" s="13">
        <f>MAX(0,C85*$B$9/12)</f>
        <v/>
      </c>
      <c r="F85" s="13">
        <f>MAX(0,MIN(C85,D85-E85))</f>
        <v/>
      </c>
      <c r="G85" s="13">
        <f>MAX(0,C85-F85)</f>
        <v/>
      </c>
    </row>
    <row r="86">
      <c r="A86" s="21" t="n">
        <v>62</v>
      </c>
      <c r="B86" s="21" t="inlineStr">
        <is>
          <t>02/01/2031</t>
        </is>
      </c>
      <c r="C86" s="13">
        <f>G85</f>
        <v/>
      </c>
      <c r="D86" s="13">
        <f>$B$10</f>
        <v/>
      </c>
      <c r="E86" s="13">
        <f>MAX(0,C86*$B$9/12)</f>
        <v/>
      </c>
      <c r="F86" s="13">
        <f>MAX(0,MIN(C86,D86-E86))</f>
        <v/>
      </c>
      <c r="G86" s="13">
        <f>MAX(0,C86-F86)</f>
        <v/>
      </c>
    </row>
    <row r="87">
      <c r="A87" s="21" t="n">
        <v>63</v>
      </c>
      <c r="B87" s="21" t="inlineStr">
        <is>
          <t>03/01/2031</t>
        </is>
      </c>
      <c r="C87" s="13">
        <f>G86</f>
        <v/>
      </c>
      <c r="D87" s="13">
        <f>$B$10</f>
        <v/>
      </c>
      <c r="E87" s="13">
        <f>MAX(0,C87*$B$9/12)</f>
        <v/>
      </c>
      <c r="F87" s="13">
        <f>MAX(0,MIN(C87,D87-E87))</f>
        <v/>
      </c>
      <c r="G87" s="13">
        <f>MAX(0,C87-F87)</f>
        <v/>
      </c>
    </row>
    <row r="88">
      <c r="A88" s="21" t="n">
        <v>64</v>
      </c>
      <c r="B88" s="21" t="inlineStr">
        <is>
          <t>04/01/2031</t>
        </is>
      </c>
      <c r="C88" s="13">
        <f>G87</f>
        <v/>
      </c>
      <c r="D88" s="13">
        <f>$B$10</f>
        <v/>
      </c>
      <c r="E88" s="13">
        <f>MAX(0,C88*$B$9/12)</f>
        <v/>
      </c>
      <c r="F88" s="13">
        <f>MAX(0,MIN(C88,D88-E88))</f>
        <v/>
      </c>
      <c r="G88" s="13">
        <f>MAX(0,C88-F88)</f>
        <v/>
      </c>
    </row>
    <row r="89">
      <c r="A89" s="21" t="n">
        <v>65</v>
      </c>
      <c r="B89" s="21" t="inlineStr">
        <is>
          <t>05/01/2031</t>
        </is>
      </c>
      <c r="C89" s="13">
        <f>G88</f>
        <v/>
      </c>
      <c r="D89" s="13">
        <f>$B$10</f>
        <v/>
      </c>
      <c r="E89" s="13">
        <f>MAX(0,C89*$B$9/12)</f>
        <v/>
      </c>
      <c r="F89" s="13">
        <f>MAX(0,MIN(C89,D89-E89))</f>
        <v/>
      </c>
      <c r="G89" s="13">
        <f>MAX(0,C89-F89)</f>
        <v/>
      </c>
    </row>
    <row r="90">
      <c r="A90" s="21" t="n">
        <v>66</v>
      </c>
      <c r="B90" s="21" t="inlineStr">
        <is>
          <t>06/01/2031</t>
        </is>
      </c>
      <c r="C90" s="13">
        <f>G89</f>
        <v/>
      </c>
      <c r="D90" s="13">
        <f>$B$10</f>
        <v/>
      </c>
      <c r="E90" s="13">
        <f>MAX(0,C90*$B$9/12)</f>
        <v/>
      </c>
      <c r="F90" s="13">
        <f>MAX(0,MIN(C90,D90-E90))</f>
        <v/>
      </c>
      <c r="G90" s="13">
        <f>MAX(0,C90-F90)</f>
        <v/>
      </c>
    </row>
    <row r="91">
      <c r="A91" s="21" t="n">
        <v>67</v>
      </c>
      <c r="B91" s="21" t="inlineStr">
        <is>
          <t>07/01/2031</t>
        </is>
      </c>
      <c r="C91" s="13">
        <f>G90</f>
        <v/>
      </c>
      <c r="D91" s="13">
        <f>$B$10</f>
        <v/>
      </c>
      <c r="E91" s="13">
        <f>MAX(0,C91*$B$9/12)</f>
        <v/>
      </c>
      <c r="F91" s="13">
        <f>MAX(0,MIN(C91,D91-E91))</f>
        <v/>
      </c>
      <c r="G91" s="13">
        <f>MAX(0,C91-F91)</f>
        <v/>
      </c>
    </row>
    <row r="92">
      <c r="A92" s="21" t="n">
        <v>68</v>
      </c>
      <c r="B92" s="21" t="inlineStr">
        <is>
          <t>08/01/2031</t>
        </is>
      </c>
      <c r="C92" s="13">
        <f>G91</f>
        <v/>
      </c>
      <c r="D92" s="13">
        <f>$B$10</f>
        <v/>
      </c>
      <c r="E92" s="13">
        <f>MAX(0,C92*$B$9/12)</f>
        <v/>
      </c>
      <c r="F92" s="13">
        <f>MAX(0,MIN(C92,D92-E92))</f>
        <v/>
      </c>
      <c r="G92" s="13">
        <f>MAX(0,C92-F92)</f>
        <v/>
      </c>
    </row>
    <row r="93">
      <c r="A93" s="21" t="n">
        <v>69</v>
      </c>
      <c r="B93" s="21" t="inlineStr">
        <is>
          <t>09/01/2031</t>
        </is>
      </c>
      <c r="C93" s="13">
        <f>G92</f>
        <v/>
      </c>
      <c r="D93" s="13">
        <f>$B$10</f>
        <v/>
      </c>
      <c r="E93" s="13">
        <f>MAX(0,C93*$B$9/12)</f>
        <v/>
      </c>
      <c r="F93" s="13">
        <f>MAX(0,MIN(C93,D93-E93))</f>
        <v/>
      </c>
      <c r="G93" s="13">
        <f>MAX(0,C93-F93)</f>
        <v/>
      </c>
    </row>
    <row r="94">
      <c r="A94" s="21" t="n">
        <v>70</v>
      </c>
      <c r="B94" s="21" t="inlineStr">
        <is>
          <t>10/01/2031</t>
        </is>
      </c>
      <c r="C94" s="13">
        <f>G93</f>
        <v/>
      </c>
      <c r="D94" s="13">
        <f>$B$10</f>
        <v/>
      </c>
      <c r="E94" s="13">
        <f>MAX(0,C94*$B$9/12)</f>
        <v/>
      </c>
      <c r="F94" s="13">
        <f>MAX(0,MIN(C94,D94-E94))</f>
        <v/>
      </c>
      <c r="G94" s="13">
        <f>MAX(0,C94-F94)</f>
        <v/>
      </c>
    </row>
    <row r="95">
      <c r="A95" s="21" t="n">
        <v>71</v>
      </c>
      <c r="B95" s="21" t="inlineStr">
        <is>
          <t>11/01/2031</t>
        </is>
      </c>
      <c r="C95" s="13">
        <f>G94</f>
        <v/>
      </c>
      <c r="D95" s="13">
        <f>$B$10</f>
        <v/>
      </c>
      <c r="E95" s="13">
        <f>MAX(0,C95*$B$9/12)</f>
        <v/>
      </c>
      <c r="F95" s="13">
        <f>MAX(0,MIN(C95,D95-E95))</f>
        <v/>
      </c>
      <c r="G95" s="13">
        <f>MAX(0,C95-F95)</f>
        <v/>
      </c>
    </row>
    <row r="96">
      <c r="A96" s="21" t="n">
        <v>72</v>
      </c>
      <c r="B96" s="21" t="inlineStr">
        <is>
          <t>12/01/2031</t>
        </is>
      </c>
      <c r="C96" s="13">
        <f>G95</f>
        <v/>
      </c>
      <c r="D96" s="13">
        <f>$B$10</f>
        <v/>
      </c>
      <c r="E96" s="13">
        <f>MAX(0,C96*$B$9/12)</f>
        <v/>
      </c>
      <c r="F96" s="13">
        <f>MAX(0,MIN(C96,D96-E96))</f>
        <v/>
      </c>
      <c r="G96" s="13">
        <f>MAX(0,C96-F96)</f>
        <v/>
      </c>
    </row>
    <row r="97">
      <c r="A97" s="22" t="inlineStr">
        <is>
          <t>2031 TOTAL</t>
        </is>
      </c>
      <c r="B97" s="23" t="n"/>
      <c r="C97" s="23" t="n"/>
      <c r="D97" s="23" t="n"/>
      <c r="E97" s="24">
        <f>SUM(E85:E96)</f>
        <v/>
      </c>
      <c r="F97" s="24">
        <f>SUM(F85:F96)</f>
        <v/>
      </c>
      <c r="G97" s="23" t="n"/>
    </row>
    <row r="98">
      <c r="A98" s="21" t="n">
        <v>73</v>
      </c>
      <c r="B98" s="21" t="inlineStr">
        <is>
          <t>01/01/2032</t>
        </is>
      </c>
      <c r="C98" s="13">
        <f>G97</f>
        <v/>
      </c>
      <c r="D98" s="13">
        <f>$B$10</f>
        <v/>
      </c>
      <c r="E98" s="13">
        <f>MAX(0,C98*$B$9/12)</f>
        <v/>
      </c>
      <c r="F98" s="13">
        <f>MAX(0,MIN(C98,D98-E98))</f>
        <v/>
      </c>
      <c r="G98" s="13">
        <f>MAX(0,C98-F98)</f>
        <v/>
      </c>
    </row>
    <row r="99">
      <c r="A99" s="21" t="n">
        <v>74</v>
      </c>
      <c r="B99" s="21" t="inlineStr">
        <is>
          <t>02/01/2032</t>
        </is>
      </c>
      <c r="C99" s="13">
        <f>G98</f>
        <v/>
      </c>
      <c r="D99" s="13">
        <f>$B$10</f>
        <v/>
      </c>
      <c r="E99" s="13">
        <f>MAX(0,C99*$B$9/12)</f>
        <v/>
      </c>
      <c r="F99" s="13">
        <f>MAX(0,MIN(C99,D99-E99))</f>
        <v/>
      </c>
      <c r="G99" s="13">
        <f>MAX(0,C99-F99)</f>
        <v/>
      </c>
    </row>
    <row r="100">
      <c r="A100" s="21" t="n">
        <v>75</v>
      </c>
      <c r="B100" s="21" t="inlineStr">
        <is>
          <t>03/01/2032</t>
        </is>
      </c>
      <c r="C100" s="13">
        <f>G99</f>
        <v/>
      </c>
      <c r="D100" s="13">
        <f>$B$10</f>
        <v/>
      </c>
      <c r="E100" s="13">
        <f>MAX(0,C100*$B$9/12)</f>
        <v/>
      </c>
      <c r="F100" s="13">
        <f>MAX(0,MIN(C100,D100-E100))</f>
        <v/>
      </c>
      <c r="G100" s="13">
        <f>MAX(0,C100-F100)</f>
        <v/>
      </c>
    </row>
    <row r="101">
      <c r="A101" s="21" t="n">
        <v>76</v>
      </c>
      <c r="B101" s="21" t="inlineStr">
        <is>
          <t>04/01/2032</t>
        </is>
      </c>
      <c r="C101" s="13">
        <f>G100</f>
        <v/>
      </c>
      <c r="D101" s="13">
        <f>$B$10</f>
        <v/>
      </c>
      <c r="E101" s="13">
        <f>MAX(0,C101*$B$9/12)</f>
        <v/>
      </c>
      <c r="F101" s="13">
        <f>MAX(0,MIN(C101,D101-E101))</f>
        <v/>
      </c>
      <c r="G101" s="13">
        <f>MAX(0,C101-F101)</f>
        <v/>
      </c>
    </row>
    <row r="102">
      <c r="A102" s="21" t="n">
        <v>77</v>
      </c>
      <c r="B102" s="21" t="inlineStr">
        <is>
          <t>05/01/2032</t>
        </is>
      </c>
      <c r="C102" s="13">
        <f>G101</f>
        <v/>
      </c>
      <c r="D102" s="13">
        <f>$B$10</f>
        <v/>
      </c>
      <c r="E102" s="13">
        <f>MAX(0,C102*$B$9/12)</f>
        <v/>
      </c>
      <c r="F102" s="13">
        <f>MAX(0,MIN(C102,D102-E102))</f>
        <v/>
      </c>
      <c r="G102" s="13">
        <f>MAX(0,C102-F102)</f>
        <v/>
      </c>
    </row>
    <row r="103">
      <c r="A103" s="21" t="n">
        <v>78</v>
      </c>
      <c r="B103" s="21" t="inlineStr">
        <is>
          <t>06/01/2032</t>
        </is>
      </c>
      <c r="C103" s="13">
        <f>G102</f>
        <v/>
      </c>
      <c r="D103" s="13">
        <f>$B$10</f>
        <v/>
      </c>
      <c r="E103" s="13">
        <f>MAX(0,C103*$B$9/12)</f>
        <v/>
      </c>
      <c r="F103" s="13">
        <f>MAX(0,MIN(C103,D103-E103))</f>
        <v/>
      </c>
      <c r="G103" s="13">
        <f>MAX(0,C103-F103)</f>
        <v/>
      </c>
    </row>
    <row r="104">
      <c r="A104" s="21" t="n">
        <v>79</v>
      </c>
      <c r="B104" s="21" t="inlineStr">
        <is>
          <t>07/01/2032</t>
        </is>
      </c>
      <c r="C104" s="13">
        <f>G103</f>
        <v/>
      </c>
      <c r="D104" s="13">
        <f>$B$10</f>
        <v/>
      </c>
      <c r="E104" s="13">
        <f>MAX(0,C104*$B$9/12)</f>
        <v/>
      </c>
      <c r="F104" s="13">
        <f>MAX(0,MIN(C104,D104-E104))</f>
        <v/>
      </c>
      <c r="G104" s="13">
        <f>MAX(0,C104-F104)</f>
        <v/>
      </c>
    </row>
    <row r="105">
      <c r="A105" s="21" t="n">
        <v>80</v>
      </c>
      <c r="B105" s="21" t="inlineStr">
        <is>
          <t>08/01/2032</t>
        </is>
      </c>
      <c r="C105" s="13">
        <f>G104</f>
        <v/>
      </c>
      <c r="D105" s="13">
        <f>$B$10</f>
        <v/>
      </c>
      <c r="E105" s="13">
        <f>MAX(0,C105*$B$9/12)</f>
        <v/>
      </c>
      <c r="F105" s="13">
        <f>MAX(0,MIN(C105,D105-E105))</f>
        <v/>
      </c>
      <c r="G105" s="13">
        <f>MAX(0,C105-F105)</f>
        <v/>
      </c>
    </row>
    <row r="106">
      <c r="A106" s="21" t="n">
        <v>81</v>
      </c>
      <c r="B106" s="21" t="inlineStr">
        <is>
          <t>09/01/2032</t>
        </is>
      </c>
      <c r="C106" s="13">
        <f>G105</f>
        <v/>
      </c>
      <c r="D106" s="13">
        <f>$B$10</f>
        <v/>
      </c>
      <c r="E106" s="13">
        <f>MAX(0,C106*$B$9/12)</f>
        <v/>
      </c>
      <c r="F106" s="13">
        <f>MAX(0,MIN(C106,D106-E106))</f>
        <v/>
      </c>
      <c r="G106" s="13">
        <f>MAX(0,C106-F106)</f>
        <v/>
      </c>
    </row>
    <row r="107">
      <c r="A107" s="21" t="n">
        <v>82</v>
      </c>
      <c r="B107" s="21" t="inlineStr">
        <is>
          <t>10/01/2032</t>
        </is>
      </c>
      <c r="C107" s="13">
        <f>G106</f>
        <v/>
      </c>
      <c r="D107" s="13">
        <f>$B$10</f>
        <v/>
      </c>
      <c r="E107" s="13">
        <f>MAX(0,C107*$B$9/12)</f>
        <v/>
      </c>
      <c r="F107" s="13">
        <f>MAX(0,MIN(C107,D107-E107))</f>
        <v/>
      </c>
      <c r="G107" s="13">
        <f>MAX(0,C107-F107)</f>
        <v/>
      </c>
    </row>
    <row r="108">
      <c r="A108" s="21" t="n">
        <v>83</v>
      </c>
      <c r="B108" s="21" t="inlineStr">
        <is>
          <t>11/01/2032</t>
        </is>
      </c>
      <c r="C108" s="13">
        <f>G107</f>
        <v/>
      </c>
      <c r="D108" s="13">
        <f>$B$10</f>
        <v/>
      </c>
      <c r="E108" s="13">
        <f>MAX(0,C108*$B$9/12)</f>
        <v/>
      </c>
      <c r="F108" s="13">
        <f>MAX(0,MIN(C108,D108-E108))</f>
        <v/>
      </c>
      <c r="G108" s="13">
        <f>MAX(0,C108-F108)</f>
        <v/>
      </c>
    </row>
    <row r="109">
      <c r="A109" s="21" t="n">
        <v>84</v>
      </c>
      <c r="B109" s="21" t="inlineStr">
        <is>
          <t>12/01/2032</t>
        </is>
      </c>
      <c r="C109" s="13">
        <f>G108</f>
        <v/>
      </c>
      <c r="D109" s="13">
        <f>$B$10</f>
        <v/>
      </c>
      <c r="E109" s="13">
        <f>MAX(0,C109*$B$9/12)</f>
        <v/>
      </c>
      <c r="F109" s="13">
        <f>MAX(0,MIN(C109,D109-E109))</f>
        <v/>
      </c>
      <c r="G109" s="13">
        <f>MAX(0,C109-F109)</f>
        <v/>
      </c>
    </row>
    <row r="110">
      <c r="A110" s="22" t="inlineStr">
        <is>
          <t>2032 TOTAL</t>
        </is>
      </c>
      <c r="B110" s="23" t="n"/>
      <c r="C110" s="23" t="n"/>
      <c r="D110" s="23" t="n"/>
      <c r="E110" s="24">
        <f>SUM(E98:E109)</f>
        <v/>
      </c>
      <c r="F110" s="24">
        <f>SUM(F98:F109)</f>
        <v/>
      </c>
      <c r="G110" s="23" t="n"/>
    </row>
    <row r="111">
      <c r="A111" s="21" t="n">
        <v>85</v>
      </c>
      <c r="B111" s="21" t="inlineStr">
        <is>
          <t>01/01/2033</t>
        </is>
      </c>
      <c r="C111" s="13">
        <f>G110</f>
        <v/>
      </c>
      <c r="D111" s="13">
        <f>$B$10</f>
        <v/>
      </c>
      <c r="E111" s="13">
        <f>MAX(0,C111*$B$9/12)</f>
        <v/>
      </c>
      <c r="F111" s="13">
        <f>MAX(0,MIN(C111,D111-E111))</f>
        <v/>
      </c>
      <c r="G111" s="13">
        <f>MAX(0,C111-F111)</f>
        <v/>
      </c>
    </row>
    <row r="112">
      <c r="A112" s="21" t="n">
        <v>86</v>
      </c>
      <c r="B112" s="21" t="inlineStr">
        <is>
          <t>02/01/2033</t>
        </is>
      </c>
      <c r="C112" s="13">
        <f>G111</f>
        <v/>
      </c>
      <c r="D112" s="13">
        <f>$B$10</f>
        <v/>
      </c>
      <c r="E112" s="13">
        <f>MAX(0,C112*$B$9/12)</f>
        <v/>
      </c>
      <c r="F112" s="13">
        <f>MAX(0,MIN(C112,D112-E112))</f>
        <v/>
      </c>
      <c r="G112" s="13">
        <f>MAX(0,C112-F112)</f>
        <v/>
      </c>
    </row>
    <row r="113">
      <c r="A113" s="21" t="n">
        <v>87</v>
      </c>
      <c r="B113" s="21" t="inlineStr">
        <is>
          <t>03/01/2033</t>
        </is>
      </c>
      <c r="C113" s="13">
        <f>G112</f>
        <v/>
      </c>
      <c r="D113" s="13">
        <f>$B$10</f>
        <v/>
      </c>
      <c r="E113" s="13">
        <f>MAX(0,C113*$B$9/12)</f>
        <v/>
      </c>
      <c r="F113" s="13">
        <f>MAX(0,MIN(C113,D113-E113))</f>
        <v/>
      </c>
      <c r="G113" s="13">
        <f>MAX(0,C113-F113)</f>
        <v/>
      </c>
    </row>
    <row r="114">
      <c r="A114" s="21" t="n">
        <v>88</v>
      </c>
      <c r="B114" s="21" t="inlineStr">
        <is>
          <t>04/01/2033</t>
        </is>
      </c>
      <c r="C114" s="13">
        <f>G113</f>
        <v/>
      </c>
      <c r="D114" s="13">
        <f>$B$10</f>
        <v/>
      </c>
      <c r="E114" s="13">
        <f>MAX(0,C114*$B$9/12)</f>
        <v/>
      </c>
      <c r="F114" s="13">
        <f>MAX(0,MIN(C114,D114-E114))</f>
        <v/>
      </c>
      <c r="G114" s="13">
        <f>MAX(0,C114-F114)</f>
        <v/>
      </c>
    </row>
    <row r="115">
      <c r="A115" s="21" t="n">
        <v>89</v>
      </c>
      <c r="B115" s="21" t="inlineStr">
        <is>
          <t>05/01/2033</t>
        </is>
      </c>
      <c r="C115" s="13">
        <f>G114</f>
        <v/>
      </c>
      <c r="D115" s="13">
        <f>$B$10</f>
        <v/>
      </c>
      <c r="E115" s="13">
        <f>MAX(0,C115*$B$9/12)</f>
        <v/>
      </c>
      <c r="F115" s="13">
        <f>MAX(0,MIN(C115,D115-E115))</f>
        <v/>
      </c>
      <c r="G115" s="13">
        <f>MAX(0,C115-F115)</f>
        <v/>
      </c>
    </row>
    <row r="116">
      <c r="A116" s="21" t="n">
        <v>90</v>
      </c>
      <c r="B116" s="21" t="inlineStr">
        <is>
          <t>06/01/2033</t>
        </is>
      </c>
      <c r="C116" s="13">
        <f>G115</f>
        <v/>
      </c>
      <c r="D116" s="13">
        <f>$B$10</f>
        <v/>
      </c>
      <c r="E116" s="13">
        <f>MAX(0,C116*$B$9/12)</f>
        <v/>
      </c>
      <c r="F116" s="13">
        <f>MAX(0,MIN(C116,D116-E116))</f>
        <v/>
      </c>
      <c r="G116" s="13">
        <f>MAX(0,C116-F116)</f>
        <v/>
      </c>
    </row>
    <row r="117">
      <c r="A117" s="21" t="n">
        <v>91</v>
      </c>
      <c r="B117" s="21" t="inlineStr">
        <is>
          <t>07/01/2033</t>
        </is>
      </c>
      <c r="C117" s="13">
        <f>G116</f>
        <v/>
      </c>
      <c r="D117" s="13">
        <f>$B$10</f>
        <v/>
      </c>
      <c r="E117" s="13">
        <f>MAX(0,C117*$B$9/12)</f>
        <v/>
      </c>
      <c r="F117" s="13">
        <f>MAX(0,MIN(C117,D117-E117))</f>
        <v/>
      </c>
      <c r="G117" s="13">
        <f>MAX(0,C117-F117)</f>
        <v/>
      </c>
    </row>
    <row r="118">
      <c r="A118" s="21" t="n">
        <v>92</v>
      </c>
      <c r="B118" s="21" t="inlineStr">
        <is>
          <t>08/01/2033</t>
        </is>
      </c>
      <c r="C118" s="13">
        <f>G117</f>
        <v/>
      </c>
      <c r="D118" s="13">
        <f>$B$10</f>
        <v/>
      </c>
      <c r="E118" s="13">
        <f>MAX(0,C118*$B$9/12)</f>
        <v/>
      </c>
      <c r="F118" s="13">
        <f>MAX(0,MIN(C118,D118-E118))</f>
        <v/>
      </c>
      <c r="G118" s="13">
        <f>MAX(0,C118-F118)</f>
        <v/>
      </c>
    </row>
    <row r="119">
      <c r="A119" s="21" t="n">
        <v>93</v>
      </c>
      <c r="B119" s="21" t="inlineStr">
        <is>
          <t>09/01/2033</t>
        </is>
      </c>
      <c r="C119" s="13">
        <f>G118</f>
        <v/>
      </c>
      <c r="D119" s="13">
        <f>$B$10</f>
        <v/>
      </c>
      <c r="E119" s="13">
        <f>MAX(0,C119*$B$9/12)</f>
        <v/>
      </c>
      <c r="F119" s="13">
        <f>MAX(0,MIN(C119,D119-E119))</f>
        <v/>
      </c>
      <c r="G119" s="13">
        <f>MAX(0,C119-F119)</f>
        <v/>
      </c>
    </row>
    <row r="120">
      <c r="A120" s="21" t="n">
        <v>94</v>
      </c>
      <c r="B120" s="21" t="inlineStr">
        <is>
          <t>10/01/2033</t>
        </is>
      </c>
      <c r="C120" s="13">
        <f>G119</f>
        <v/>
      </c>
      <c r="D120" s="13">
        <f>$B$10</f>
        <v/>
      </c>
      <c r="E120" s="13">
        <f>MAX(0,C120*$B$9/12)</f>
        <v/>
      </c>
      <c r="F120" s="13">
        <f>MAX(0,MIN(C120,D120-E120))</f>
        <v/>
      </c>
      <c r="G120" s="13">
        <f>MAX(0,C120-F120)</f>
        <v/>
      </c>
    </row>
    <row r="121">
      <c r="A121" s="21" t="n">
        <v>95</v>
      </c>
      <c r="B121" s="21" t="inlineStr">
        <is>
          <t>11/01/2033</t>
        </is>
      </c>
      <c r="C121" s="13">
        <f>G120</f>
        <v/>
      </c>
      <c r="D121" s="13">
        <f>$B$10</f>
        <v/>
      </c>
      <c r="E121" s="13">
        <f>MAX(0,C121*$B$9/12)</f>
        <v/>
      </c>
      <c r="F121" s="13">
        <f>MAX(0,MIN(C121,D121-E121))</f>
        <v/>
      </c>
      <c r="G121" s="13">
        <f>MAX(0,C121-F121)</f>
        <v/>
      </c>
    </row>
    <row r="122">
      <c r="A122" s="21" t="n">
        <v>96</v>
      </c>
      <c r="B122" s="21" t="inlineStr">
        <is>
          <t>12/01/2033</t>
        </is>
      </c>
      <c r="C122" s="13">
        <f>G121</f>
        <v/>
      </c>
      <c r="D122" s="13">
        <f>$B$10</f>
        <v/>
      </c>
      <c r="E122" s="13">
        <f>MAX(0,C122*$B$9/12)</f>
        <v/>
      </c>
      <c r="F122" s="13">
        <f>MAX(0,MIN(C122,D122-E122))</f>
        <v/>
      </c>
      <c r="G122" s="13">
        <f>MAX(0,C122-F122)</f>
        <v/>
      </c>
    </row>
    <row r="123">
      <c r="A123" s="22" t="inlineStr">
        <is>
          <t>2033 TOTAL</t>
        </is>
      </c>
      <c r="B123" s="23" t="n"/>
      <c r="C123" s="23" t="n"/>
      <c r="D123" s="23" t="n"/>
      <c r="E123" s="24">
        <f>SUM(E111:E122)</f>
        <v/>
      </c>
      <c r="F123" s="24">
        <f>SUM(F111:F122)</f>
        <v/>
      </c>
      <c r="G123" s="23" t="n"/>
    </row>
    <row r="124">
      <c r="A124" s="21" t="n">
        <v>97</v>
      </c>
      <c r="B124" s="21" t="inlineStr">
        <is>
          <t>01/01/2034</t>
        </is>
      </c>
      <c r="C124" s="13">
        <f>G123</f>
        <v/>
      </c>
      <c r="D124" s="13">
        <f>$B$10</f>
        <v/>
      </c>
      <c r="E124" s="13">
        <f>MAX(0,C124*$B$9/12)</f>
        <v/>
      </c>
      <c r="F124" s="13">
        <f>MAX(0,MIN(C124,D124-E124))</f>
        <v/>
      </c>
      <c r="G124" s="13">
        <f>MAX(0,C124-F124)</f>
        <v/>
      </c>
    </row>
    <row r="125">
      <c r="A125" s="21" t="n">
        <v>98</v>
      </c>
      <c r="B125" s="21" t="inlineStr">
        <is>
          <t>02/01/2034</t>
        </is>
      </c>
      <c r="C125" s="13">
        <f>G124</f>
        <v/>
      </c>
      <c r="D125" s="13">
        <f>$B$10</f>
        <v/>
      </c>
      <c r="E125" s="13">
        <f>MAX(0,C125*$B$9/12)</f>
        <v/>
      </c>
      <c r="F125" s="13">
        <f>MAX(0,MIN(C125,D125-E125))</f>
        <v/>
      </c>
      <c r="G125" s="13">
        <f>MAX(0,C125-F125)</f>
        <v/>
      </c>
    </row>
    <row r="126">
      <c r="A126" s="21" t="n">
        <v>99</v>
      </c>
      <c r="B126" s="21" t="inlineStr">
        <is>
          <t>03/01/2034</t>
        </is>
      </c>
      <c r="C126" s="13">
        <f>G125</f>
        <v/>
      </c>
      <c r="D126" s="13">
        <f>$B$10</f>
        <v/>
      </c>
      <c r="E126" s="13">
        <f>MAX(0,C126*$B$9/12)</f>
        <v/>
      </c>
      <c r="F126" s="13">
        <f>MAX(0,MIN(C126,D126-E126))</f>
        <v/>
      </c>
      <c r="G126" s="13">
        <f>MAX(0,C126-F126)</f>
        <v/>
      </c>
    </row>
    <row r="127">
      <c r="A127" s="21" t="n">
        <v>100</v>
      </c>
      <c r="B127" s="21" t="inlineStr">
        <is>
          <t>04/01/2034</t>
        </is>
      </c>
      <c r="C127" s="13">
        <f>G126</f>
        <v/>
      </c>
      <c r="D127" s="13">
        <f>$B$10</f>
        <v/>
      </c>
      <c r="E127" s="13">
        <f>MAX(0,C127*$B$9/12)</f>
        <v/>
      </c>
      <c r="F127" s="13">
        <f>MAX(0,MIN(C127,D127-E127))</f>
        <v/>
      </c>
      <c r="G127" s="13">
        <f>MAX(0,C127-F127)</f>
        <v/>
      </c>
    </row>
    <row r="128">
      <c r="A128" s="21" t="n">
        <v>101</v>
      </c>
      <c r="B128" s="21" t="inlineStr">
        <is>
          <t>05/01/2034</t>
        </is>
      </c>
      <c r="C128" s="13">
        <f>G127</f>
        <v/>
      </c>
      <c r="D128" s="13">
        <f>$B$10</f>
        <v/>
      </c>
      <c r="E128" s="13">
        <f>MAX(0,C128*$B$9/12)</f>
        <v/>
      </c>
      <c r="F128" s="13">
        <f>MAX(0,MIN(C128,D128-E128))</f>
        <v/>
      </c>
      <c r="G128" s="13">
        <f>MAX(0,C128-F128)</f>
        <v/>
      </c>
    </row>
    <row r="129">
      <c r="A129" s="21" t="n">
        <v>102</v>
      </c>
      <c r="B129" s="21" t="inlineStr">
        <is>
          <t>06/01/2034</t>
        </is>
      </c>
      <c r="C129" s="13">
        <f>G128</f>
        <v/>
      </c>
      <c r="D129" s="13">
        <f>$B$10</f>
        <v/>
      </c>
      <c r="E129" s="13">
        <f>MAX(0,C129*$B$9/12)</f>
        <v/>
      </c>
      <c r="F129" s="13">
        <f>MAX(0,MIN(C129,D129-E129))</f>
        <v/>
      </c>
      <c r="G129" s="13">
        <f>MAX(0,C129-F129)</f>
        <v/>
      </c>
    </row>
    <row r="130">
      <c r="A130" s="21" t="n">
        <v>103</v>
      </c>
      <c r="B130" s="21" t="inlineStr">
        <is>
          <t>07/01/2034</t>
        </is>
      </c>
      <c r="C130" s="13">
        <f>G129</f>
        <v/>
      </c>
      <c r="D130" s="13">
        <f>$B$10</f>
        <v/>
      </c>
      <c r="E130" s="13">
        <f>MAX(0,C130*$B$9/12)</f>
        <v/>
      </c>
      <c r="F130" s="13">
        <f>MAX(0,MIN(C130,D130-E130))</f>
        <v/>
      </c>
      <c r="G130" s="13">
        <f>MAX(0,C130-F130)</f>
        <v/>
      </c>
    </row>
    <row r="131">
      <c r="A131" s="21" t="n">
        <v>104</v>
      </c>
      <c r="B131" s="21" t="inlineStr">
        <is>
          <t>08/01/2034</t>
        </is>
      </c>
      <c r="C131" s="13">
        <f>G130</f>
        <v/>
      </c>
      <c r="D131" s="13">
        <f>$B$10</f>
        <v/>
      </c>
      <c r="E131" s="13">
        <f>MAX(0,C131*$B$9/12)</f>
        <v/>
      </c>
      <c r="F131" s="13">
        <f>MAX(0,MIN(C131,D131-E131))</f>
        <v/>
      </c>
      <c r="G131" s="13">
        <f>MAX(0,C131-F131)</f>
        <v/>
      </c>
    </row>
    <row r="132">
      <c r="A132" s="21" t="n">
        <v>105</v>
      </c>
      <c r="B132" s="21" t="inlineStr">
        <is>
          <t>09/01/2034</t>
        </is>
      </c>
      <c r="C132" s="13">
        <f>G131</f>
        <v/>
      </c>
      <c r="D132" s="13">
        <f>$B$10</f>
        <v/>
      </c>
      <c r="E132" s="13">
        <f>MAX(0,C132*$B$9/12)</f>
        <v/>
      </c>
      <c r="F132" s="13">
        <f>MAX(0,MIN(C132,D132-E132))</f>
        <v/>
      </c>
      <c r="G132" s="13">
        <f>MAX(0,C132-F132)</f>
        <v/>
      </c>
    </row>
    <row r="133">
      <c r="A133" s="21" t="n">
        <v>106</v>
      </c>
      <c r="B133" s="21" t="inlineStr">
        <is>
          <t>10/01/2034</t>
        </is>
      </c>
      <c r="C133" s="13">
        <f>G132</f>
        <v/>
      </c>
      <c r="D133" s="13">
        <f>$B$10</f>
        <v/>
      </c>
      <c r="E133" s="13">
        <f>MAX(0,C133*$B$9/12)</f>
        <v/>
      </c>
      <c r="F133" s="13">
        <f>MAX(0,MIN(C133,D133-E133))</f>
        <v/>
      </c>
      <c r="G133" s="13">
        <f>MAX(0,C133-F133)</f>
        <v/>
      </c>
    </row>
    <row r="134">
      <c r="A134" s="21" t="n">
        <v>107</v>
      </c>
      <c r="B134" s="21" t="inlineStr">
        <is>
          <t>11/01/2034</t>
        </is>
      </c>
      <c r="C134" s="13">
        <f>G133</f>
        <v/>
      </c>
      <c r="D134" s="13">
        <f>$B$10</f>
        <v/>
      </c>
      <c r="E134" s="13">
        <f>MAX(0,C134*$B$9/12)</f>
        <v/>
      </c>
      <c r="F134" s="13">
        <f>MAX(0,MIN(C134,D134-E134))</f>
        <v/>
      </c>
      <c r="G134" s="13">
        <f>MAX(0,C134-F134)</f>
        <v/>
      </c>
    </row>
    <row r="135">
      <c r="A135" s="21" t="n">
        <v>108</v>
      </c>
      <c r="B135" s="21" t="inlineStr">
        <is>
          <t>12/01/2034</t>
        </is>
      </c>
      <c r="C135" s="13">
        <f>G134</f>
        <v/>
      </c>
      <c r="D135" s="13">
        <f>$B$10</f>
        <v/>
      </c>
      <c r="E135" s="13">
        <f>MAX(0,C135*$B$9/12)</f>
        <v/>
      </c>
      <c r="F135" s="13">
        <f>MAX(0,MIN(C135,D135-E135))</f>
        <v/>
      </c>
      <c r="G135" s="13">
        <f>MAX(0,C135-F135)</f>
        <v/>
      </c>
    </row>
    <row r="136">
      <c r="A136" s="22" t="inlineStr">
        <is>
          <t>2034 TOTAL</t>
        </is>
      </c>
      <c r="B136" s="23" t="n"/>
      <c r="C136" s="23" t="n"/>
      <c r="D136" s="23" t="n"/>
      <c r="E136" s="24">
        <f>SUM(E124:E135)</f>
        <v/>
      </c>
      <c r="F136" s="24">
        <f>SUM(F124:F135)</f>
        <v/>
      </c>
      <c r="G136" s="23" t="n"/>
    </row>
    <row r="137">
      <c r="A137" s="21" t="n">
        <v>109</v>
      </c>
      <c r="B137" s="21" t="inlineStr">
        <is>
          <t>01/01/2035</t>
        </is>
      </c>
      <c r="C137" s="13">
        <f>G136</f>
        <v/>
      </c>
      <c r="D137" s="13">
        <f>$B$10</f>
        <v/>
      </c>
      <c r="E137" s="13">
        <f>MAX(0,C137*$B$9/12)</f>
        <v/>
      </c>
      <c r="F137" s="13">
        <f>MAX(0,MIN(C137,D137-E137))</f>
        <v/>
      </c>
      <c r="G137" s="13">
        <f>MAX(0,C137-F137)</f>
        <v/>
      </c>
    </row>
    <row r="138">
      <c r="A138" s="21" t="n">
        <v>110</v>
      </c>
      <c r="B138" s="21" t="inlineStr">
        <is>
          <t>02/01/2035</t>
        </is>
      </c>
      <c r="C138" s="13">
        <f>G137</f>
        <v/>
      </c>
      <c r="D138" s="13">
        <f>$B$10</f>
        <v/>
      </c>
      <c r="E138" s="13">
        <f>MAX(0,C138*$B$9/12)</f>
        <v/>
      </c>
      <c r="F138" s="13">
        <f>MAX(0,MIN(C138,D138-E138))</f>
        <v/>
      </c>
      <c r="G138" s="13">
        <f>MAX(0,C138-F138)</f>
        <v/>
      </c>
    </row>
    <row r="139">
      <c r="A139" s="21" t="n">
        <v>111</v>
      </c>
      <c r="B139" s="21" t="inlineStr">
        <is>
          <t>03/01/2035</t>
        </is>
      </c>
      <c r="C139" s="13">
        <f>G138</f>
        <v/>
      </c>
      <c r="D139" s="13">
        <f>$B$10</f>
        <v/>
      </c>
      <c r="E139" s="13">
        <f>MAX(0,C139*$B$9/12)</f>
        <v/>
      </c>
      <c r="F139" s="13">
        <f>MAX(0,MIN(C139,D139-E139))</f>
        <v/>
      </c>
      <c r="G139" s="13">
        <f>MAX(0,C139-F139)</f>
        <v/>
      </c>
    </row>
    <row r="140">
      <c r="A140" s="21" t="n">
        <v>112</v>
      </c>
      <c r="B140" s="21" t="inlineStr">
        <is>
          <t>04/01/2035</t>
        </is>
      </c>
      <c r="C140" s="13">
        <f>G139</f>
        <v/>
      </c>
      <c r="D140" s="13">
        <f>$B$10</f>
        <v/>
      </c>
      <c r="E140" s="13">
        <f>MAX(0,C140*$B$9/12)</f>
        <v/>
      </c>
      <c r="F140" s="13">
        <f>MAX(0,MIN(C140,D140-E140))</f>
        <v/>
      </c>
      <c r="G140" s="13">
        <f>MAX(0,C140-F140)</f>
        <v/>
      </c>
    </row>
    <row r="141">
      <c r="A141" s="21" t="n">
        <v>113</v>
      </c>
      <c r="B141" s="21" t="inlineStr">
        <is>
          <t>05/01/2035</t>
        </is>
      </c>
      <c r="C141" s="13">
        <f>G140</f>
        <v/>
      </c>
      <c r="D141" s="13">
        <f>$B$10</f>
        <v/>
      </c>
      <c r="E141" s="13">
        <f>MAX(0,C141*$B$9/12)</f>
        <v/>
      </c>
      <c r="F141" s="13">
        <f>MAX(0,MIN(C141,D141-E141))</f>
        <v/>
      </c>
      <c r="G141" s="13">
        <f>MAX(0,C141-F141)</f>
        <v/>
      </c>
    </row>
    <row r="142">
      <c r="A142" s="21" t="n">
        <v>114</v>
      </c>
      <c r="B142" s="21" t="inlineStr">
        <is>
          <t>06/01/2035</t>
        </is>
      </c>
      <c r="C142" s="13">
        <f>G141</f>
        <v/>
      </c>
      <c r="D142" s="13">
        <f>$B$10</f>
        <v/>
      </c>
      <c r="E142" s="13">
        <f>MAX(0,C142*$B$9/12)</f>
        <v/>
      </c>
      <c r="F142" s="13">
        <f>MAX(0,MIN(C142,D142-E142))</f>
        <v/>
      </c>
      <c r="G142" s="13">
        <f>MAX(0,C142-F142)</f>
        <v/>
      </c>
    </row>
    <row r="143">
      <c r="A143" s="21" t="n">
        <v>115</v>
      </c>
      <c r="B143" s="21" t="inlineStr">
        <is>
          <t>07/01/2035</t>
        </is>
      </c>
      <c r="C143" s="13">
        <f>G142</f>
        <v/>
      </c>
      <c r="D143" s="13">
        <f>$B$10</f>
        <v/>
      </c>
      <c r="E143" s="13">
        <f>MAX(0,C143*$B$9/12)</f>
        <v/>
      </c>
      <c r="F143" s="13">
        <f>MAX(0,MIN(C143,D143-E143))</f>
        <v/>
      </c>
      <c r="G143" s="13">
        <f>MAX(0,C143-F143)</f>
        <v/>
      </c>
    </row>
    <row r="144">
      <c r="A144" s="21" t="n">
        <v>116</v>
      </c>
      <c r="B144" s="21" t="inlineStr">
        <is>
          <t>08/01/2035</t>
        </is>
      </c>
      <c r="C144" s="13">
        <f>G143</f>
        <v/>
      </c>
      <c r="D144" s="13">
        <f>$B$10</f>
        <v/>
      </c>
      <c r="E144" s="13">
        <f>MAX(0,C144*$B$9/12)</f>
        <v/>
      </c>
      <c r="F144" s="13">
        <f>MAX(0,MIN(C144,D144-E144))</f>
        <v/>
      </c>
      <c r="G144" s="13">
        <f>MAX(0,C144-F144)</f>
        <v/>
      </c>
    </row>
    <row r="145">
      <c r="A145" s="21" t="n">
        <v>117</v>
      </c>
      <c r="B145" s="21" t="inlineStr">
        <is>
          <t>09/01/2035</t>
        </is>
      </c>
      <c r="C145" s="13">
        <f>G144</f>
        <v/>
      </c>
      <c r="D145" s="13">
        <f>$B$10</f>
        <v/>
      </c>
      <c r="E145" s="13">
        <f>MAX(0,C145*$B$9/12)</f>
        <v/>
      </c>
      <c r="F145" s="13">
        <f>MAX(0,MIN(C145,D145-E145))</f>
        <v/>
      </c>
      <c r="G145" s="13">
        <f>MAX(0,C145-F145)</f>
        <v/>
      </c>
    </row>
    <row r="146">
      <c r="A146" s="21" t="n">
        <v>118</v>
      </c>
      <c r="B146" s="21" t="inlineStr">
        <is>
          <t>10/01/2035</t>
        </is>
      </c>
      <c r="C146" s="13">
        <f>G145</f>
        <v/>
      </c>
      <c r="D146" s="13">
        <f>$B$10</f>
        <v/>
      </c>
      <c r="E146" s="13">
        <f>MAX(0,C146*$B$9/12)</f>
        <v/>
      </c>
      <c r="F146" s="13">
        <f>MAX(0,MIN(C146,D146-E146))</f>
        <v/>
      </c>
      <c r="G146" s="13">
        <f>MAX(0,C146-F146)</f>
        <v/>
      </c>
    </row>
    <row r="147">
      <c r="A147" s="21" t="n">
        <v>119</v>
      </c>
      <c r="B147" s="21" t="inlineStr">
        <is>
          <t>11/01/2035</t>
        </is>
      </c>
      <c r="C147" s="13">
        <f>G146</f>
        <v/>
      </c>
      <c r="D147" s="13">
        <f>$B$10</f>
        <v/>
      </c>
      <c r="E147" s="13">
        <f>MAX(0,C147*$B$9/12)</f>
        <v/>
      </c>
      <c r="F147" s="13">
        <f>MAX(0,MIN(C147,D147-E147))</f>
        <v/>
      </c>
      <c r="G147" s="13">
        <f>MAX(0,C147-F147)</f>
        <v/>
      </c>
    </row>
    <row r="148">
      <c r="A148" s="21" t="n">
        <v>120</v>
      </c>
      <c r="B148" s="21" t="inlineStr">
        <is>
          <t>12/01/2035</t>
        </is>
      </c>
      <c r="C148" s="13">
        <f>G147</f>
        <v/>
      </c>
      <c r="D148" s="13">
        <f>$B$10</f>
        <v/>
      </c>
      <c r="E148" s="13">
        <f>MAX(0,C148*$B$9/12)</f>
        <v/>
      </c>
      <c r="F148" s="13">
        <f>MAX(0,MIN(C148,D148-E148))</f>
        <v/>
      </c>
      <c r="G148" s="13">
        <f>MAX(0,C148-F148)</f>
        <v/>
      </c>
    </row>
    <row r="149">
      <c r="A149" s="22" t="inlineStr">
        <is>
          <t>2035 TOTAL</t>
        </is>
      </c>
      <c r="B149" s="23" t="n"/>
      <c r="C149" s="23" t="n"/>
      <c r="D149" s="23" t="n"/>
      <c r="E149" s="24">
        <f>SUM(E137:E148)</f>
        <v/>
      </c>
      <c r="F149" s="24">
        <f>SUM(F137:F148)</f>
        <v/>
      </c>
      <c r="G149" s="23" t="n"/>
    </row>
    <row r="150">
      <c r="A150" s="21" t="n">
        <v>121</v>
      </c>
      <c r="B150" s="21" t="inlineStr">
        <is>
          <t>01/01/2036</t>
        </is>
      </c>
      <c r="C150" s="13">
        <f>G149</f>
        <v/>
      </c>
      <c r="D150" s="13">
        <f>$B$10</f>
        <v/>
      </c>
      <c r="E150" s="13">
        <f>MAX(0,C150*$B$9/12)</f>
        <v/>
      </c>
      <c r="F150" s="13">
        <f>MAX(0,MIN(C150,D150-E150))</f>
        <v/>
      </c>
      <c r="G150" s="13">
        <f>MAX(0,C150-F150)</f>
        <v/>
      </c>
    </row>
    <row r="151">
      <c r="A151" s="21" t="n">
        <v>122</v>
      </c>
      <c r="B151" s="21" t="inlineStr">
        <is>
          <t>02/01/2036</t>
        </is>
      </c>
      <c r="C151" s="13">
        <f>G150</f>
        <v/>
      </c>
      <c r="D151" s="13">
        <f>$B$10</f>
        <v/>
      </c>
      <c r="E151" s="13">
        <f>MAX(0,C151*$B$9/12)</f>
        <v/>
      </c>
      <c r="F151" s="13">
        <f>MAX(0,MIN(C151,D151-E151))</f>
        <v/>
      </c>
      <c r="G151" s="13">
        <f>MAX(0,C151-F151)</f>
        <v/>
      </c>
    </row>
    <row r="152">
      <c r="A152" s="21" t="n">
        <v>123</v>
      </c>
      <c r="B152" s="21" t="inlineStr">
        <is>
          <t>03/01/2036</t>
        </is>
      </c>
      <c r="C152" s="13">
        <f>G151</f>
        <v/>
      </c>
      <c r="D152" s="13">
        <f>$B$10</f>
        <v/>
      </c>
      <c r="E152" s="13">
        <f>MAX(0,C152*$B$9/12)</f>
        <v/>
      </c>
      <c r="F152" s="13">
        <f>MAX(0,MIN(C152,D152-E152))</f>
        <v/>
      </c>
      <c r="G152" s="13">
        <f>MAX(0,C152-F152)</f>
        <v/>
      </c>
    </row>
    <row r="153">
      <c r="A153" s="21" t="n">
        <v>124</v>
      </c>
      <c r="B153" s="21" t="inlineStr">
        <is>
          <t>04/01/2036</t>
        </is>
      </c>
      <c r="C153" s="13">
        <f>G152</f>
        <v/>
      </c>
      <c r="D153" s="13">
        <f>$B$10</f>
        <v/>
      </c>
      <c r="E153" s="13">
        <f>MAX(0,C153*$B$9/12)</f>
        <v/>
      </c>
      <c r="F153" s="13">
        <f>MAX(0,MIN(C153,D153-E153))</f>
        <v/>
      </c>
      <c r="G153" s="13">
        <f>MAX(0,C153-F153)</f>
        <v/>
      </c>
    </row>
    <row r="154">
      <c r="A154" s="21" t="n">
        <v>125</v>
      </c>
      <c r="B154" s="21" t="inlineStr">
        <is>
          <t>05/01/2036</t>
        </is>
      </c>
      <c r="C154" s="13">
        <f>G153</f>
        <v/>
      </c>
      <c r="D154" s="13">
        <f>$B$10</f>
        <v/>
      </c>
      <c r="E154" s="13">
        <f>MAX(0,C154*$B$9/12)</f>
        <v/>
      </c>
      <c r="F154" s="13">
        <f>MAX(0,MIN(C154,D154-E154))</f>
        <v/>
      </c>
      <c r="G154" s="13">
        <f>MAX(0,C154-F154)</f>
        <v/>
      </c>
    </row>
    <row r="155">
      <c r="A155" s="21" t="n">
        <v>126</v>
      </c>
      <c r="B155" s="21" t="inlineStr">
        <is>
          <t>06/01/2036</t>
        </is>
      </c>
      <c r="C155" s="13">
        <f>G154</f>
        <v/>
      </c>
      <c r="D155" s="13">
        <f>$B$10</f>
        <v/>
      </c>
      <c r="E155" s="13">
        <f>MAX(0,C155*$B$9/12)</f>
        <v/>
      </c>
      <c r="F155" s="13">
        <f>MAX(0,MIN(C155,D155-E155))</f>
        <v/>
      </c>
      <c r="G155" s="13">
        <f>MAX(0,C155-F155)</f>
        <v/>
      </c>
    </row>
    <row r="156">
      <c r="A156" s="21" t="n">
        <v>127</v>
      </c>
      <c r="B156" s="21" t="inlineStr">
        <is>
          <t>07/01/2036</t>
        </is>
      </c>
      <c r="C156" s="13">
        <f>G155</f>
        <v/>
      </c>
      <c r="D156" s="13">
        <f>$B$10</f>
        <v/>
      </c>
      <c r="E156" s="13">
        <f>MAX(0,C156*$B$9/12)</f>
        <v/>
      </c>
      <c r="F156" s="13">
        <f>MAX(0,MIN(C156,D156-E156))</f>
        <v/>
      </c>
      <c r="G156" s="13">
        <f>MAX(0,C156-F156)</f>
        <v/>
      </c>
    </row>
    <row r="157">
      <c r="A157" s="21" t="n">
        <v>128</v>
      </c>
      <c r="B157" s="21" t="inlineStr">
        <is>
          <t>08/01/2036</t>
        </is>
      </c>
      <c r="C157" s="13">
        <f>G156</f>
        <v/>
      </c>
      <c r="D157" s="13">
        <f>$B$10</f>
        <v/>
      </c>
      <c r="E157" s="13">
        <f>MAX(0,C157*$B$9/12)</f>
        <v/>
      </c>
      <c r="F157" s="13">
        <f>MAX(0,MIN(C157,D157-E157))</f>
        <v/>
      </c>
      <c r="G157" s="13">
        <f>MAX(0,C157-F157)</f>
        <v/>
      </c>
    </row>
    <row r="158">
      <c r="A158" s="21" t="n">
        <v>129</v>
      </c>
      <c r="B158" s="21" t="inlineStr">
        <is>
          <t>09/01/2036</t>
        </is>
      </c>
      <c r="C158" s="13">
        <f>G157</f>
        <v/>
      </c>
      <c r="D158" s="13">
        <f>$B$10</f>
        <v/>
      </c>
      <c r="E158" s="13">
        <f>MAX(0,C158*$B$9/12)</f>
        <v/>
      </c>
      <c r="F158" s="13">
        <f>MAX(0,MIN(C158,D158-E158))</f>
        <v/>
      </c>
      <c r="G158" s="13">
        <f>MAX(0,C158-F158)</f>
        <v/>
      </c>
    </row>
    <row r="159">
      <c r="A159" s="21" t="n">
        <v>130</v>
      </c>
      <c r="B159" s="21" t="inlineStr">
        <is>
          <t>10/01/2036</t>
        </is>
      </c>
      <c r="C159" s="13">
        <f>G158</f>
        <v/>
      </c>
      <c r="D159" s="13">
        <f>$B$10</f>
        <v/>
      </c>
      <c r="E159" s="13">
        <f>MAX(0,C159*$B$9/12)</f>
        <v/>
      </c>
      <c r="F159" s="13">
        <f>MAX(0,MIN(C159,D159-E159))</f>
        <v/>
      </c>
      <c r="G159" s="13">
        <f>MAX(0,C159-F159)</f>
        <v/>
      </c>
    </row>
    <row r="160">
      <c r="A160" s="21" t="n">
        <v>131</v>
      </c>
      <c r="B160" s="21" t="inlineStr">
        <is>
          <t>11/01/2036</t>
        </is>
      </c>
      <c r="C160" s="13">
        <f>G159</f>
        <v/>
      </c>
      <c r="D160" s="13">
        <f>$B$10</f>
        <v/>
      </c>
      <c r="E160" s="13">
        <f>MAX(0,C160*$B$9/12)</f>
        <v/>
      </c>
      <c r="F160" s="13">
        <f>MAX(0,MIN(C160,D160-E160))</f>
        <v/>
      </c>
      <c r="G160" s="13">
        <f>MAX(0,C160-F160)</f>
        <v/>
      </c>
    </row>
    <row r="161">
      <c r="A161" s="21" t="n">
        <v>132</v>
      </c>
      <c r="B161" s="21" t="inlineStr">
        <is>
          <t>12/01/2036</t>
        </is>
      </c>
      <c r="C161" s="13">
        <f>G160</f>
        <v/>
      </c>
      <c r="D161" s="13">
        <f>$B$10</f>
        <v/>
      </c>
      <c r="E161" s="13">
        <f>MAX(0,C161*$B$9/12)</f>
        <v/>
      </c>
      <c r="F161" s="13">
        <f>MAX(0,MIN(C161,D161-E161))</f>
        <v/>
      </c>
      <c r="G161" s="13">
        <f>MAX(0,C161-F161)</f>
        <v/>
      </c>
    </row>
    <row r="162">
      <c r="A162" s="22" t="inlineStr">
        <is>
          <t>2036 TOTAL</t>
        </is>
      </c>
      <c r="B162" s="23" t="n"/>
      <c r="C162" s="23" t="n"/>
      <c r="D162" s="23" t="n"/>
      <c r="E162" s="24">
        <f>SUM(E150:E161)</f>
        <v/>
      </c>
      <c r="F162" s="24">
        <f>SUM(F150:F161)</f>
        <v/>
      </c>
      <c r="G162" s="23" t="n"/>
    </row>
    <row r="163">
      <c r="A163" s="21" t="n">
        <v>133</v>
      </c>
      <c r="B163" s="21" t="inlineStr">
        <is>
          <t>01/01/2037</t>
        </is>
      </c>
      <c r="C163" s="13">
        <f>G162</f>
        <v/>
      </c>
      <c r="D163" s="13">
        <f>$B$10</f>
        <v/>
      </c>
      <c r="E163" s="13">
        <f>MAX(0,C163*$B$9/12)</f>
        <v/>
      </c>
      <c r="F163" s="13">
        <f>MAX(0,MIN(C163,D163-E163))</f>
        <v/>
      </c>
      <c r="G163" s="13">
        <f>MAX(0,C163-F163)</f>
        <v/>
      </c>
    </row>
    <row r="164">
      <c r="A164" s="21" t="n">
        <v>134</v>
      </c>
      <c r="B164" s="21" t="inlineStr">
        <is>
          <t>02/01/2037</t>
        </is>
      </c>
      <c r="C164" s="13">
        <f>G163</f>
        <v/>
      </c>
      <c r="D164" s="13">
        <f>$B$10</f>
        <v/>
      </c>
      <c r="E164" s="13">
        <f>MAX(0,C164*$B$9/12)</f>
        <v/>
      </c>
      <c r="F164" s="13">
        <f>MAX(0,MIN(C164,D164-E164))</f>
        <v/>
      </c>
      <c r="G164" s="13">
        <f>MAX(0,C164-F164)</f>
        <v/>
      </c>
    </row>
    <row r="165">
      <c r="A165" s="21" t="n">
        <v>135</v>
      </c>
      <c r="B165" s="21" t="inlineStr">
        <is>
          <t>03/01/2037</t>
        </is>
      </c>
      <c r="C165" s="13">
        <f>G164</f>
        <v/>
      </c>
      <c r="D165" s="13">
        <f>$B$10</f>
        <v/>
      </c>
      <c r="E165" s="13">
        <f>MAX(0,C165*$B$9/12)</f>
        <v/>
      </c>
      <c r="F165" s="13">
        <f>MAX(0,MIN(C165,D165-E165))</f>
        <v/>
      </c>
      <c r="G165" s="13">
        <f>MAX(0,C165-F165)</f>
        <v/>
      </c>
    </row>
    <row r="166">
      <c r="A166" s="21" t="n">
        <v>136</v>
      </c>
      <c r="B166" s="21" t="inlineStr">
        <is>
          <t>04/01/2037</t>
        </is>
      </c>
      <c r="C166" s="13">
        <f>G165</f>
        <v/>
      </c>
      <c r="D166" s="13">
        <f>$B$10</f>
        <v/>
      </c>
      <c r="E166" s="13">
        <f>MAX(0,C166*$B$9/12)</f>
        <v/>
      </c>
      <c r="F166" s="13">
        <f>MAX(0,MIN(C166,D166-E166))</f>
        <v/>
      </c>
      <c r="G166" s="13">
        <f>MAX(0,C166-F166)</f>
        <v/>
      </c>
    </row>
    <row r="167">
      <c r="A167" s="21" t="n">
        <v>137</v>
      </c>
      <c r="B167" s="21" t="inlineStr">
        <is>
          <t>05/01/2037</t>
        </is>
      </c>
      <c r="C167" s="13">
        <f>G166</f>
        <v/>
      </c>
      <c r="D167" s="13">
        <f>$B$10</f>
        <v/>
      </c>
      <c r="E167" s="13">
        <f>MAX(0,C167*$B$9/12)</f>
        <v/>
      </c>
      <c r="F167" s="13">
        <f>MAX(0,MIN(C167,D167-E167))</f>
        <v/>
      </c>
      <c r="G167" s="13">
        <f>MAX(0,C167-F167)</f>
        <v/>
      </c>
    </row>
    <row r="168">
      <c r="A168" s="21" t="n">
        <v>138</v>
      </c>
      <c r="B168" s="21" t="inlineStr">
        <is>
          <t>06/01/2037</t>
        </is>
      </c>
      <c r="C168" s="13">
        <f>G167</f>
        <v/>
      </c>
      <c r="D168" s="13">
        <f>$B$10</f>
        <v/>
      </c>
      <c r="E168" s="13">
        <f>MAX(0,C168*$B$9/12)</f>
        <v/>
      </c>
      <c r="F168" s="13">
        <f>MAX(0,MIN(C168,D168-E168))</f>
        <v/>
      </c>
      <c r="G168" s="13">
        <f>MAX(0,C168-F168)</f>
        <v/>
      </c>
    </row>
    <row r="169">
      <c r="A169" s="21" t="n">
        <v>139</v>
      </c>
      <c r="B169" s="21" t="inlineStr">
        <is>
          <t>07/01/2037</t>
        </is>
      </c>
      <c r="C169" s="13">
        <f>G168</f>
        <v/>
      </c>
      <c r="D169" s="13">
        <f>$B$10</f>
        <v/>
      </c>
      <c r="E169" s="13">
        <f>MAX(0,C169*$B$9/12)</f>
        <v/>
      </c>
      <c r="F169" s="13">
        <f>MAX(0,MIN(C169,D169-E169))</f>
        <v/>
      </c>
      <c r="G169" s="13">
        <f>MAX(0,C169-F169)</f>
        <v/>
      </c>
    </row>
    <row r="170">
      <c r="A170" s="21" t="n">
        <v>140</v>
      </c>
      <c r="B170" s="21" t="inlineStr">
        <is>
          <t>08/01/2037</t>
        </is>
      </c>
      <c r="C170" s="13">
        <f>G169</f>
        <v/>
      </c>
      <c r="D170" s="13">
        <f>$B$10</f>
        <v/>
      </c>
      <c r="E170" s="13">
        <f>MAX(0,C170*$B$9/12)</f>
        <v/>
      </c>
      <c r="F170" s="13">
        <f>MAX(0,MIN(C170,D170-E170))</f>
        <v/>
      </c>
      <c r="G170" s="13">
        <f>MAX(0,C170-F170)</f>
        <v/>
      </c>
    </row>
    <row r="171">
      <c r="A171" s="21" t="n">
        <v>141</v>
      </c>
      <c r="B171" s="21" t="inlineStr">
        <is>
          <t>09/01/2037</t>
        </is>
      </c>
      <c r="C171" s="13">
        <f>G170</f>
        <v/>
      </c>
      <c r="D171" s="13">
        <f>$B$10</f>
        <v/>
      </c>
      <c r="E171" s="13">
        <f>MAX(0,C171*$B$9/12)</f>
        <v/>
      </c>
      <c r="F171" s="13">
        <f>MAX(0,MIN(C171,D171-E171))</f>
        <v/>
      </c>
      <c r="G171" s="13">
        <f>MAX(0,C171-F171)</f>
        <v/>
      </c>
    </row>
    <row r="172">
      <c r="A172" s="21" t="n">
        <v>142</v>
      </c>
      <c r="B172" s="21" t="inlineStr">
        <is>
          <t>10/01/2037</t>
        </is>
      </c>
      <c r="C172" s="13">
        <f>G171</f>
        <v/>
      </c>
      <c r="D172" s="13">
        <f>$B$10</f>
        <v/>
      </c>
      <c r="E172" s="13">
        <f>MAX(0,C172*$B$9/12)</f>
        <v/>
      </c>
      <c r="F172" s="13">
        <f>MAX(0,MIN(C172,D172-E172))</f>
        <v/>
      </c>
      <c r="G172" s="13">
        <f>MAX(0,C172-F172)</f>
        <v/>
      </c>
    </row>
    <row r="173">
      <c r="A173" s="21" t="n">
        <v>143</v>
      </c>
      <c r="B173" s="21" t="inlineStr">
        <is>
          <t>11/01/2037</t>
        </is>
      </c>
      <c r="C173" s="13">
        <f>G172</f>
        <v/>
      </c>
      <c r="D173" s="13">
        <f>$B$10</f>
        <v/>
      </c>
      <c r="E173" s="13">
        <f>MAX(0,C173*$B$9/12)</f>
        <v/>
      </c>
      <c r="F173" s="13">
        <f>MAX(0,MIN(C173,D173-E173))</f>
        <v/>
      </c>
      <c r="G173" s="13">
        <f>MAX(0,C173-F173)</f>
        <v/>
      </c>
    </row>
    <row r="174">
      <c r="A174" s="21" t="n">
        <v>144</v>
      </c>
      <c r="B174" s="21" t="inlineStr">
        <is>
          <t>12/01/2037</t>
        </is>
      </c>
      <c r="C174" s="13">
        <f>G173</f>
        <v/>
      </c>
      <c r="D174" s="13">
        <f>$B$10</f>
        <v/>
      </c>
      <c r="E174" s="13">
        <f>MAX(0,C174*$B$9/12)</f>
        <v/>
      </c>
      <c r="F174" s="13">
        <f>MAX(0,MIN(C174,D174-E174))</f>
        <v/>
      </c>
      <c r="G174" s="13">
        <f>MAX(0,C174-F174)</f>
        <v/>
      </c>
    </row>
    <row r="175">
      <c r="A175" s="22" t="inlineStr">
        <is>
          <t>2037 TOTAL</t>
        </is>
      </c>
      <c r="B175" s="23" t="n"/>
      <c r="C175" s="23" t="n"/>
      <c r="D175" s="23" t="n"/>
      <c r="E175" s="24">
        <f>SUM(E163:E174)</f>
        <v/>
      </c>
      <c r="F175" s="24">
        <f>SUM(F163:F174)</f>
        <v/>
      </c>
      <c r="G175" s="23" t="n"/>
    </row>
    <row r="176">
      <c r="A176" s="21" t="n">
        <v>145</v>
      </c>
      <c r="B176" s="21" t="inlineStr">
        <is>
          <t>01/01/2038</t>
        </is>
      </c>
      <c r="C176" s="13">
        <f>G175</f>
        <v/>
      </c>
      <c r="D176" s="13">
        <f>$B$10</f>
        <v/>
      </c>
      <c r="E176" s="13">
        <f>MAX(0,C176*$B$9/12)</f>
        <v/>
      </c>
      <c r="F176" s="13">
        <f>MAX(0,MIN(C176,D176-E176))</f>
        <v/>
      </c>
      <c r="G176" s="13">
        <f>MAX(0,C176-F176)</f>
        <v/>
      </c>
    </row>
    <row r="177">
      <c r="A177" s="21" t="n">
        <v>146</v>
      </c>
      <c r="B177" s="21" t="inlineStr">
        <is>
          <t>02/01/2038</t>
        </is>
      </c>
      <c r="C177" s="13">
        <f>G176</f>
        <v/>
      </c>
      <c r="D177" s="13">
        <f>$B$10</f>
        <v/>
      </c>
      <c r="E177" s="13">
        <f>MAX(0,C177*$B$9/12)</f>
        <v/>
      </c>
      <c r="F177" s="13">
        <f>MAX(0,MIN(C177,D177-E177))</f>
        <v/>
      </c>
      <c r="G177" s="13">
        <f>MAX(0,C177-F177)</f>
        <v/>
      </c>
    </row>
    <row r="178">
      <c r="A178" s="21" t="n">
        <v>147</v>
      </c>
      <c r="B178" s="21" t="inlineStr">
        <is>
          <t>03/01/2038</t>
        </is>
      </c>
      <c r="C178" s="13">
        <f>G177</f>
        <v/>
      </c>
      <c r="D178" s="13">
        <f>$B$10</f>
        <v/>
      </c>
      <c r="E178" s="13">
        <f>MAX(0,C178*$B$9/12)</f>
        <v/>
      </c>
      <c r="F178" s="13">
        <f>MAX(0,MIN(C178,D178-E178))</f>
        <v/>
      </c>
      <c r="G178" s="13">
        <f>MAX(0,C178-F178)</f>
        <v/>
      </c>
    </row>
    <row r="179">
      <c r="A179" s="21" t="n">
        <v>148</v>
      </c>
      <c r="B179" s="21" t="inlineStr">
        <is>
          <t>04/01/2038</t>
        </is>
      </c>
      <c r="C179" s="13">
        <f>G178</f>
        <v/>
      </c>
      <c r="D179" s="13">
        <f>$B$10</f>
        <v/>
      </c>
      <c r="E179" s="13">
        <f>MAX(0,C179*$B$9/12)</f>
        <v/>
      </c>
      <c r="F179" s="13">
        <f>MAX(0,MIN(C179,D179-E179))</f>
        <v/>
      </c>
      <c r="G179" s="13">
        <f>MAX(0,C179-F179)</f>
        <v/>
      </c>
    </row>
    <row r="180">
      <c r="A180" s="21" t="n">
        <v>149</v>
      </c>
      <c r="B180" s="21" t="inlineStr">
        <is>
          <t>05/01/2038</t>
        </is>
      </c>
      <c r="C180" s="13">
        <f>G179</f>
        <v/>
      </c>
      <c r="D180" s="13">
        <f>$B$10</f>
        <v/>
      </c>
      <c r="E180" s="13">
        <f>MAX(0,C180*$B$9/12)</f>
        <v/>
      </c>
      <c r="F180" s="13">
        <f>MAX(0,MIN(C180,D180-E180))</f>
        <v/>
      </c>
      <c r="G180" s="13">
        <f>MAX(0,C180-F180)</f>
        <v/>
      </c>
    </row>
    <row r="181">
      <c r="A181" s="21" t="n">
        <v>150</v>
      </c>
      <c r="B181" s="21" t="inlineStr">
        <is>
          <t>06/01/2038</t>
        </is>
      </c>
      <c r="C181" s="13">
        <f>G180</f>
        <v/>
      </c>
      <c r="D181" s="13">
        <f>$B$10</f>
        <v/>
      </c>
      <c r="E181" s="13">
        <f>MAX(0,C181*$B$9/12)</f>
        <v/>
      </c>
      <c r="F181" s="13">
        <f>MAX(0,MIN(C181,D181-E181))</f>
        <v/>
      </c>
      <c r="G181" s="13">
        <f>MAX(0,C181-F181)</f>
        <v/>
      </c>
    </row>
    <row r="182">
      <c r="A182" s="21" t="n">
        <v>151</v>
      </c>
      <c r="B182" s="21" t="inlineStr">
        <is>
          <t>07/01/2038</t>
        </is>
      </c>
      <c r="C182" s="13">
        <f>G181</f>
        <v/>
      </c>
      <c r="D182" s="13">
        <f>$B$10</f>
        <v/>
      </c>
      <c r="E182" s="13">
        <f>MAX(0,C182*$B$9/12)</f>
        <v/>
      </c>
      <c r="F182" s="13">
        <f>MAX(0,MIN(C182,D182-E182))</f>
        <v/>
      </c>
      <c r="G182" s="13">
        <f>MAX(0,C182-F182)</f>
        <v/>
      </c>
    </row>
    <row r="183">
      <c r="A183" s="21" t="n">
        <v>152</v>
      </c>
      <c r="B183" s="21" t="inlineStr">
        <is>
          <t>08/01/2038</t>
        </is>
      </c>
      <c r="C183" s="13">
        <f>G182</f>
        <v/>
      </c>
      <c r="D183" s="13">
        <f>$B$10</f>
        <v/>
      </c>
      <c r="E183" s="13">
        <f>MAX(0,C183*$B$9/12)</f>
        <v/>
      </c>
      <c r="F183" s="13">
        <f>MAX(0,MIN(C183,D183-E183))</f>
        <v/>
      </c>
      <c r="G183" s="13">
        <f>MAX(0,C183-F183)</f>
        <v/>
      </c>
    </row>
    <row r="184">
      <c r="A184" s="21" t="n">
        <v>153</v>
      </c>
      <c r="B184" s="21" t="inlineStr">
        <is>
          <t>09/01/2038</t>
        </is>
      </c>
      <c r="C184" s="13">
        <f>G183</f>
        <v/>
      </c>
      <c r="D184" s="13">
        <f>$B$10</f>
        <v/>
      </c>
      <c r="E184" s="13">
        <f>MAX(0,C184*$B$9/12)</f>
        <v/>
      </c>
      <c r="F184" s="13">
        <f>MAX(0,MIN(C184,D184-E184))</f>
        <v/>
      </c>
      <c r="G184" s="13">
        <f>MAX(0,C184-F184)</f>
        <v/>
      </c>
    </row>
    <row r="185">
      <c r="A185" s="21" t="n">
        <v>154</v>
      </c>
      <c r="B185" s="21" t="inlineStr">
        <is>
          <t>10/01/2038</t>
        </is>
      </c>
      <c r="C185" s="13">
        <f>G184</f>
        <v/>
      </c>
      <c r="D185" s="13">
        <f>$B$10</f>
        <v/>
      </c>
      <c r="E185" s="13">
        <f>MAX(0,C185*$B$9/12)</f>
        <v/>
      </c>
      <c r="F185" s="13">
        <f>MAX(0,MIN(C185,D185-E185))</f>
        <v/>
      </c>
      <c r="G185" s="13">
        <f>MAX(0,C185-F185)</f>
        <v/>
      </c>
    </row>
    <row r="186">
      <c r="A186" s="21" t="n">
        <v>155</v>
      </c>
      <c r="B186" s="21" t="inlineStr">
        <is>
          <t>11/01/2038</t>
        </is>
      </c>
      <c r="C186" s="13">
        <f>G185</f>
        <v/>
      </c>
      <c r="D186" s="13">
        <f>$B$10</f>
        <v/>
      </c>
      <c r="E186" s="13">
        <f>MAX(0,C186*$B$9/12)</f>
        <v/>
      </c>
      <c r="F186" s="13">
        <f>MAX(0,MIN(C186,D186-E186))</f>
        <v/>
      </c>
      <c r="G186" s="13">
        <f>MAX(0,C186-F186)</f>
        <v/>
      </c>
    </row>
    <row r="187">
      <c r="A187" s="21" t="n">
        <v>156</v>
      </c>
      <c r="B187" s="21" t="inlineStr">
        <is>
          <t>12/01/2038</t>
        </is>
      </c>
      <c r="C187" s="13">
        <f>G186</f>
        <v/>
      </c>
      <c r="D187" s="13">
        <f>$B$10</f>
        <v/>
      </c>
      <c r="E187" s="13">
        <f>MAX(0,C187*$B$9/12)</f>
        <v/>
      </c>
      <c r="F187" s="13">
        <f>MAX(0,MIN(C187,D187-E187))</f>
        <v/>
      </c>
      <c r="G187" s="13">
        <f>MAX(0,C187-F187)</f>
        <v/>
      </c>
    </row>
    <row r="188">
      <c r="A188" s="22" t="inlineStr">
        <is>
          <t>2038 TOTAL</t>
        </is>
      </c>
      <c r="B188" s="23" t="n"/>
      <c r="C188" s="23" t="n"/>
      <c r="D188" s="23" t="n"/>
      <c r="E188" s="24">
        <f>SUM(E176:E187)</f>
        <v/>
      </c>
      <c r="F188" s="24">
        <f>SUM(F176:F187)</f>
        <v/>
      </c>
      <c r="G188" s="23" t="n"/>
    </row>
    <row r="189">
      <c r="A189" s="21" t="n">
        <v>157</v>
      </c>
      <c r="B189" s="21" t="inlineStr">
        <is>
          <t>01/01/2039</t>
        </is>
      </c>
      <c r="C189" s="13">
        <f>G188</f>
        <v/>
      </c>
      <c r="D189" s="13">
        <f>$B$10</f>
        <v/>
      </c>
      <c r="E189" s="13">
        <f>MAX(0,C189*$B$9/12)</f>
        <v/>
      </c>
      <c r="F189" s="13">
        <f>MAX(0,MIN(C189,D189-E189))</f>
        <v/>
      </c>
      <c r="G189" s="13">
        <f>MAX(0,C189-F189)</f>
        <v/>
      </c>
    </row>
    <row r="190">
      <c r="A190" s="21" t="n">
        <v>158</v>
      </c>
      <c r="B190" s="21" t="inlineStr">
        <is>
          <t>02/01/2039</t>
        </is>
      </c>
      <c r="C190" s="13">
        <f>G189</f>
        <v/>
      </c>
      <c r="D190" s="13">
        <f>$B$10</f>
        <v/>
      </c>
      <c r="E190" s="13">
        <f>MAX(0,C190*$B$9/12)</f>
        <v/>
      </c>
      <c r="F190" s="13">
        <f>MAX(0,MIN(C190,D190-E190))</f>
        <v/>
      </c>
      <c r="G190" s="13">
        <f>MAX(0,C190-F190)</f>
        <v/>
      </c>
    </row>
    <row r="191">
      <c r="A191" s="21" t="n">
        <v>159</v>
      </c>
      <c r="B191" s="21" t="inlineStr">
        <is>
          <t>03/01/2039</t>
        </is>
      </c>
      <c r="C191" s="13">
        <f>G190</f>
        <v/>
      </c>
      <c r="D191" s="13">
        <f>$B$10</f>
        <v/>
      </c>
      <c r="E191" s="13">
        <f>MAX(0,C191*$B$9/12)</f>
        <v/>
      </c>
      <c r="F191" s="13">
        <f>MAX(0,MIN(C191,D191-E191))</f>
        <v/>
      </c>
      <c r="G191" s="13">
        <f>MAX(0,C191-F191)</f>
        <v/>
      </c>
    </row>
    <row r="192">
      <c r="A192" s="21" t="n">
        <v>160</v>
      </c>
      <c r="B192" s="21" t="inlineStr">
        <is>
          <t>04/01/2039</t>
        </is>
      </c>
      <c r="C192" s="13">
        <f>G191</f>
        <v/>
      </c>
      <c r="D192" s="13">
        <f>$B$10</f>
        <v/>
      </c>
      <c r="E192" s="13">
        <f>MAX(0,C192*$B$9/12)</f>
        <v/>
      </c>
      <c r="F192" s="13">
        <f>MAX(0,MIN(C192,D192-E192))</f>
        <v/>
      </c>
      <c r="G192" s="13">
        <f>MAX(0,C192-F192)</f>
        <v/>
      </c>
    </row>
    <row r="193">
      <c r="A193" s="21" t="n">
        <v>161</v>
      </c>
      <c r="B193" s="21" t="inlineStr">
        <is>
          <t>05/01/2039</t>
        </is>
      </c>
      <c r="C193" s="13">
        <f>G192</f>
        <v/>
      </c>
      <c r="D193" s="13">
        <f>$B$10</f>
        <v/>
      </c>
      <c r="E193" s="13">
        <f>MAX(0,C193*$B$9/12)</f>
        <v/>
      </c>
      <c r="F193" s="13">
        <f>MAX(0,MIN(C193,D193-E193))</f>
        <v/>
      </c>
      <c r="G193" s="13">
        <f>MAX(0,C193-F193)</f>
        <v/>
      </c>
    </row>
    <row r="194">
      <c r="A194" s="21" t="n">
        <v>162</v>
      </c>
      <c r="B194" s="21" t="inlineStr">
        <is>
          <t>06/01/2039</t>
        </is>
      </c>
      <c r="C194" s="13">
        <f>G193</f>
        <v/>
      </c>
      <c r="D194" s="13">
        <f>$B$10</f>
        <v/>
      </c>
      <c r="E194" s="13">
        <f>MAX(0,C194*$B$9/12)</f>
        <v/>
      </c>
      <c r="F194" s="13">
        <f>MAX(0,MIN(C194,D194-E194))</f>
        <v/>
      </c>
      <c r="G194" s="13">
        <f>MAX(0,C194-F194)</f>
        <v/>
      </c>
    </row>
    <row r="195">
      <c r="A195" s="21" t="n">
        <v>163</v>
      </c>
      <c r="B195" s="21" t="inlineStr">
        <is>
          <t>07/01/2039</t>
        </is>
      </c>
      <c r="C195" s="13">
        <f>G194</f>
        <v/>
      </c>
      <c r="D195" s="13">
        <f>$B$10</f>
        <v/>
      </c>
      <c r="E195" s="13">
        <f>MAX(0,C195*$B$9/12)</f>
        <v/>
      </c>
      <c r="F195" s="13">
        <f>MAX(0,MIN(C195,D195-E195))</f>
        <v/>
      </c>
      <c r="G195" s="13">
        <f>MAX(0,C195-F195)</f>
        <v/>
      </c>
    </row>
    <row r="196">
      <c r="A196" s="21" t="n">
        <v>164</v>
      </c>
      <c r="B196" s="21" t="inlineStr">
        <is>
          <t>08/01/2039</t>
        </is>
      </c>
      <c r="C196" s="13">
        <f>G195</f>
        <v/>
      </c>
      <c r="D196" s="13">
        <f>$B$10</f>
        <v/>
      </c>
      <c r="E196" s="13">
        <f>MAX(0,C196*$B$9/12)</f>
        <v/>
      </c>
      <c r="F196" s="13">
        <f>MAX(0,MIN(C196,D196-E196))</f>
        <v/>
      </c>
      <c r="G196" s="13">
        <f>MAX(0,C196-F196)</f>
        <v/>
      </c>
    </row>
    <row r="197">
      <c r="A197" s="21" t="n">
        <v>165</v>
      </c>
      <c r="B197" s="21" t="inlineStr">
        <is>
          <t>09/01/2039</t>
        </is>
      </c>
      <c r="C197" s="13">
        <f>G196</f>
        <v/>
      </c>
      <c r="D197" s="13">
        <f>$B$10</f>
        <v/>
      </c>
      <c r="E197" s="13">
        <f>MAX(0,C197*$B$9/12)</f>
        <v/>
      </c>
      <c r="F197" s="13">
        <f>MAX(0,MIN(C197,D197-E197))</f>
        <v/>
      </c>
      <c r="G197" s="13">
        <f>MAX(0,C197-F197)</f>
        <v/>
      </c>
    </row>
    <row r="198">
      <c r="A198" s="21" t="n">
        <v>166</v>
      </c>
      <c r="B198" s="21" t="inlineStr">
        <is>
          <t>10/01/2039</t>
        </is>
      </c>
      <c r="C198" s="13">
        <f>G197</f>
        <v/>
      </c>
      <c r="D198" s="13">
        <f>$B$10</f>
        <v/>
      </c>
      <c r="E198" s="13">
        <f>MAX(0,C198*$B$9/12)</f>
        <v/>
      </c>
      <c r="F198" s="13">
        <f>MAX(0,MIN(C198,D198-E198))</f>
        <v/>
      </c>
      <c r="G198" s="13">
        <f>MAX(0,C198-F198)</f>
        <v/>
      </c>
    </row>
    <row r="199">
      <c r="A199" s="21" t="n">
        <v>167</v>
      </c>
      <c r="B199" s="21" t="inlineStr">
        <is>
          <t>11/01/2039</t>
        </is>
      </c>
      <c r="C199" s="13">
        <f>G198</f>
        <v/>
      </c>
      <c r="D199" s="13">
        <f>$B$10</f>
        <v/>
      </c>
      <c r="E199" s="13">
        <f>MAX(0,C199*$B$9/12)</f>
        <v/>
      </c>
      <c r="F199" s="13">
        <f>MAX(0,MIN(C199,D199-E199))</f>
        <v/>
      </c>
      <c r="G199" s="13">
        <f>MAX(0,C199-F199)</f>
        <v/>
      </c>
    </row>
    <row r="200">
      <c r="A200" s="21" t="n">
        <v>168</v>
      </c>
      <c r="B200" s="21" t="inlineStr">
        <is>
          <t>12/01/2039</t>
        </is>
      </c>
      <c r="C200" s="13">
        <f>G199</f>
        <v/>
      </c>
      <c r="D200" s="13">
        <f>$B$10</f>
        <v/>
      </c>
      <c r="E200" s="13">
        <f>MAX(0,C200*$B$9/12)</f>
        <v/>
      </c>
      <c r="F200" s="13">
        <f>MAX(0,MIN(C200,D200-E200))</f>
        <v/>
      </c>
      <c r="G200" s="13">
        <f>MAX(0,C200-F200)</f>
        <v/>
      </c>
    </row>
    <row r="201">
      <c r="A201" s="22" t="inlineStr">
        <is>
          <t>2039 TOTAL</t>
        </is>
      </c>
      <c r="B201" s="23" t="n"/>
      <c r="C201" s="23" t="n"/>
      <c r="D201" s="23" t="n"/>
      <c r="E201" s="24">
        <f>SUM(E189:E200)</f>
        <v/>
      </c>
      <c r="F201" s="24">
        <f>SUM(F189:F200)</f>
        <v/>
      </c>
      <c r="G201" s="23" t="n"/>
    </row>
    <row r="202">
      <c r="A202" s="21" t="n">
        <v>169</v>
      </c>
      <c r="B202" s="21" t="inlineStr">
        <is>
          <t>01/01/2040</t>
        </is>
      </c>
      <c r="C202" s="13">
        <f>G201</f>
        <v/>
      </c>
      <c r="D202" s="13">
        <f>$B$10</f>
        <v/>
      </c>
      <c r="E202" s="13">
        <f>MAX(0,C202*$B$9/12)</f>
        <v/>
      </c>
      <c r="F202" s="13">
        <f>MAX(0,MIN(C202,D202-E202))</f>
        <v/>
      </c>
      <c r="G202" s="13">
        <f>MAX(0,C202-F202)</f>
        <v/>
      </c>
    </row>
    <row r="203">
      <c r="A203" s="21" t="n">
        <v>170</v>
      </c>
      <c r="B203" s="21" t="inlineStr">
        <is>
          <t>02/01/2040</t>
        </is>
      </c>
      <c r="C203" s="13">
        <f>G202</f>
        <v/>
      </c>
      <c r="D203" s="13">
        <f>$B$10</f>
        <v/>
      </c>
      <c r="E203" s="13">
        <f>MAX(0,C203*$B$9/12)</f>
        <v/>
      </c>
      <c r="F203" s="13">
        <f>MAX(0,MIN(C203,D203-E203))</f>
        <v/>
      </c>
      <c r="G203" s="13">
        <f>MAX(0,C203-F203)</f>
        <v/>
      </c>
    </row>
    <row r="204">
      <c r="A204" s="21" t="n">
        <v>171</v>
      </c>
      <c r="B204" s="21" t="inlineStr">
        <is>
          <t>03/01/2040</t>
        </is>
      </c>
      <c r="C204" s="13">
        <f>G203</f>
        <v/>
      </c>
      <c r="D204" s="13">
        <f>$B$10</f>
        <v/>
      </c>
      <c r="E204" s="13">
        <f>MAX(0,C204*$B$9/12)</f>
        <v/>
      </c>
      <c r="F204" s="13">
        <f>MAX(0,MIN(C204,D204-E204))</f>
        <v/>
      </c>
      <c r="G204" s="13">
        <f>MAX(0,C204-F204)</f>
        <v/>
      </c>
    </row>
    <row r="205">
      <c r="A205" s="21" t="n">
        <v>172</v>
      </c>
      <c r="B205" s="21" t="inlineStr">
        <is>
          <t>04/01/2040</t>
        </is>
      </c>
      <c r="C205" s="13">
        <f>G204</f>
        <v/>
      </c>
      <c r="D205" s="13">
        <f>$B$10</f>
        <v/>
      </c>
      <c r="E205" s="13">
        <f>MAX(0,C205*$B$9/12)</f>
        <v/>
      </c>
      <c r="F205" s="13">
        <f>MAX(0,MIN(C205,D205-E205))</f>
        <v/>
      </c>
      <c r="G205" s="13">
        <f>MAX(0,C205-F205)</f>
        <v/>
      </c>
    </row>
    <row r="206">
      <c r="A206" s="21" t="n">
        <v>173</v>
      </c>
      <c r="B206" s="21" t="inlineStr">
        <is>
          <t>05/01/2040</t>
        </is>
      </c>
      <c r="C206" s="13">
        <f>G205</f>
        <v/>
      </c>
      <c r="D206" s="13">
        <f>$B$10</f>
        <v/>
      </c>
      <c r="E206" s="13">
        <f>MAX(0,C206*$B$9/12)</f>
        <v/>
      </c>
      <c r="F206" s="13">
        <f>MAX(0,MIN(C206,D206-E206))</f>
        <v/>
      </c>
      <c r="G206" s="13">
        <f>MAX(0,C206-F206)</f>
        <v/>
      </c>
    </row>
    <row r="207">
      <c r="A207" s="21" t="n">
        <v>174</v>
      </c>
      <c r="B207" s="21" t="inlineStr">
        <is>
          <t>06/01/2040</t>
        </is>
      </c>
      <c r="C207" s="13">
        <f>G206</f>
        <v/>
      </c>
      <c r="D207" s="13">
        <f>$B$10</f>
        <v/>
      </c>
      <c r="E207" s="13">
        <f>MAX(0,C207*$B$9/12)</f>
        <v/>
      </c>
      <c r="F207" s="13">
        <f>MAX(0,MIN(C207,D207-E207))</f>
        <v/>
      </c>
      <c r="G207" s="13">
        <f>MAX(0,C207-F207)</f>
        <v/>
      </c>
    </row>
    <row r="208">
      <c r="A208" s="21" t="n">
        <v>175</v>
      </c>
      <c r="B208" s="21" t="inlineStr">
        <is>
          <t>07/01/2040</t>
        </is>
      </c>
      <c r="C208" s="13">
        <f>G207</f>
        <v/>
      </c>
      <c r="D208" s="13">
        <f>$B$10</f>
        <v/>
      </c>
      <c r="E208" s="13">
        <f>MAX(0,C208*$B$9/12)</f>
        <v/>
      </c>
      <c r="F208" s="13">
        <f>MAX(0,MIN(C208,D208-E208))</f>
        <v/>
      </c>
      <c r="G208" s="13">
        <f>MAX(0,C208-F208)</f>
        <v/>
      </c>
    </row>
    <row r="209">
      <c r="A209" s="21" t="n">
        <v>176</v>
      </c>
      <c r="B209" s="21" t="inlineStr">
        <is>
          <t>08/01/2040</t>
        </is>
      </c>
      <c r="C209" s="13">
        <f>G208</f>
        <v/>
      </c>
      <c r="D209" s="13">
        <f>$B$10</f>
        <v/>
      </c>
      <c r="E209" s="13">
        <f>MAX(0,C209*$B$9/12)</f>
        <v/>
      </c>
      <c r="F209" s="13">
        <f>MAX(0,MIN(C209,D209-E209))</f>
        <v/>
      </c>
      <c r="G209" s="13">
        <f>MAX(0,C209-F209)</f>
        <v/>
      </c>
    </row>
    <row r="210">
      <c r="A210" s="21" t="n">
        <v>177</v>
      </c>
      <c r="B210" s="21" t="inlineStr">
        <is>
          <t>09/01/2040</t>
        </is>
      </c>
      <c r="C210" s="13">
        <f>G209</f>
        <v/>
      </c>
      <c r="D210" s="13">
        <f>$B$10</f>
        <v/>
      </c>
      <c r="E210" s="13">
        <f>MAX(0,C210*$B$9/12)</f>
        <v/>
      </c>
      <c r="F210" s="13">
        <f>MAX(0,MIN(C210,D210-E210))</f>
        <v/>
      </c>
      <c r="G210" s="13">
        <f>MAX(0,C210-F210)</f>
        <v/>
      </c>
    </row>
    <row r="211">
      <c r="A211" s="21" t="n">
        <v>178</v>
      </c>
      <c r="B211" s="21" t="inlineStr">
        <is>
          <t>10/01/2040</t>
        </is>
      </c>
      <c r="C211" s="13">
        <f>G210</f>
        <v/>
      </c>
      <c r="D211" s="13">
        <f>$B$10</f>
        <v/>
      </c>
      <c r="E211" s="13">
        <f>MAX(0,C211*$B$9/12)</f>
        <v/>
      </c>
      <c r="F211" s="13">
        <f>MAX(0,MIN(C211,D211-E211))</f>
        <v/>
      </c>
      <c r="G211" s="13">
        <f>MAX(0,C211-F211)</f>
        <v/>
      </c>
    </row>
    <row r="212">
      <c r="A212" s="21" t="n">
        <v>179</v>
      </c>
      <c r="B212" s="21" t="inlineStr">
        <is>
          <t>11/01/2040</t>
        </is>
      </c>
      <c r="C212" s="13">
        <f>G211</f>
        <v/>
      </c>
      <c r="D212" s="13">
        <f>$B$10</f>
        <v/>
      </c>
      <c r="E212" s="13">
        <f>MAX(0,C212*$B$9/12)</f>
        <v/>
      </c>
      <c r="F212" s="13">
        <f>MAX(0,MIN(C212,D212-E212))</f>
        <v/>
      </c>
      <c r="G212" s="13">
        <f>MAX(0,C212-F212)</f>
        <v/>
      </c>
    </row>
    <row r="213">
      <c r="A213" s="21" t="n">
        <v>180</v>
      </c>
      <c r="B213" s="21" t="inlineStr">
        <is>
          <t>12/01/2040</t>
        </is>
      </c>
      <c r="C213" s="13">
        <f>G212</f>
        <v/>
      </c>
      <c r="D213" s="13">
        <f>$B$10</f>
        <v/>
      </c>
      <c r="E213" s="13">
        <f>MAX(0,C213*$B$9/12)</f>
        <v/>
      </c>
      <c r="F213" s="13">
        <f>MAX(0,MIN(C213,D213-E213))</f>
        <v/>
      </c>
      <c r="G213" s="13">
        <f>MAX(0,C213-F213)</f>
        <v/>
      </c>
    </row>
    <row r="214">
      <c r="A214" s="22" t="inlineStr">
        <is>
          <t>2040 TOTAL</t>
        </is>
      </c>
      <c r="B214" s="23" t="n"/>
      <c r="C214" s="23" t="n"/>
      <c r="D214" s="23" t="n"/>
      <c r="E214" s="24">
        <f>SUM(E202:E213)</f>
        <v/>
      </c>
      <c r="F214" s="24">
        <f>SUM(F202:F213)</f>
        <v/>
      </c>
      <c r="G214" s="23" t="n"/>
    </row>
    <row r="215">
      <c r="A215" s="21" t="n">
        <v>181</v>
      </c>
      <c r="B215" s="21" t="inlineStr">
        <is>
          <t>01/01/2041</t>
        </is>
      </c>
      <c r="C215" s="13">
        <f>G214</f>
        <v/>
      </c>
      <c r="D215" s="13">
        <f>$B$10</f>
        <v/>
      </c>
      <c r="E215" s="13">
        <f>MAX(0,C215*$B$9/12)</f>
        <v/>
      </c>
      <c r="F215" s="13">
        <f>MAX(0,MIN(C215,D215-E215))</f>
        <v/>
      </c>
      <c r="G215" s="13">
        <f>MAX(0,C215-F215)</f>
        <v/>
      </c>
    </row>
    <row r="216">
      <c r="A216" s="21" t="n">
        <v>182</v>
      </c>
      <c r="B216" s="21" t="inlineStr">
        <is>
          <t>02/01/2041</t>
        </is>
      </c>
      <c r="C216" s="13">
        <f>G215</f>
        <v/>
      </c>
      <c r="D216" s="13">
        <f>$B$10</f>
        <v/>
      </c>
      <c r="E216" s="13">
        <f>MAX(0,C216*$B$9/12)</f>
        <v/>
      </c>
      <c r="F216" s="13">
        <f>MAX(0,MIN(C216,D216-E216))</f>
        <v/>
      </c>
      <c r="G216" s="13">
        <f>MAX(0,C216-F216)</f>
        <v/>
      </c>
    </row>
    <row r="217">
      <c r="A217" s="21" t="n">
        <v>183</v>
      </c>
      <c r="B217" s="21" t="inlineStr">
        <is>
          <t>03/01/2041</t>
        </is>
      </c>
      <c r="C217" s="13">
        <f>G216</f>
        <v/>
      </c>
      <c r="D217" s="13">
        <f>$B$10</f>
        <v/>
      </c>
      <c r="E217" s="13">
        <f>MAX(0,C217*$B$9/12)</f>
        <v/>
      </c>
      <c r="F217" s="13">
        <f>MAX(0,MIN(C217,D217-E217))</f>
        <v/>
      </c>
      <c r="G217" s="13">
        <f>MAX(0,C217-F217)</f>
        <v/>
      </c>
    </row>
    <row r="218">
      <c r="A218" s="21" t="n">
        <v>184</v>
      </c>
      <c r="B218" s="21" t="inlineStr">
        <is>
          <t>04/01/2041</t>
        </is>
      </c>
      <c r="C218" s="13">
        <f>G217</f>
        <v/>
      </c>
      <c r="D218" s="13">
        <f>$B$10</f>
        <v/>
      </c>
      <c r="E218" s="13">
        <f>MAX(0,C218*$B$9/12)</f>
        <v/>
      </c>
      <c r="F218" s="13">
        <f>MAX(0,MIN(C218,D218-E218))</f>
        <v/>
      </c>
      <c r="G218" s="13">
        <f>MAX(0,C218-F218)</f>
        <v/>
      </c>
    </row>
    <row r="219">
      <c r="A219" s="21" t="n">
        <v>185</v>
      </c>
      <c r="B219" s="21" t="inlineStr">
        <is>
          <t>05/01/2041</t>
        </is>
      </c>
      <c r="C219" s="13">
        <f>G218</f>
        <v/>
      </c>
      <c r="D219" s="13">
        <f>$B$10</f>
        <v/>
      </c>
      <c r="E219" s="13">
        <f>MAX(0,C219*$B$9/12)</f>
        <v/>
      </c>
      <c r="F219" s="13">
        <f>MAX(0,MIN(C219,D219-E219))</f>
        <v/>
      </c>
      <c r="G219" s="13">
        <f>MAX(0,C219-F219)</f>
        <v/>
      </c>
    </row>
    <row r="220">
      <c r="A220" s="21" t="n">
        <v>186</v>
      </c>
      <c r="B220" s="21" t="inlineStr">
        <is>
          <t>06/01/2041</t>
        </is>
      </c>
      <c r="C220" s="13">
        <f>G219</f>
        <v/>
      </c>
      <c r="D220" s="13">
        <f>$B$10</f>
        <v/>
      </c>
      <c r="E220" s="13">
        <f>MAX(0,C220*$B$9/12)</f>
        <v/>
      </c>
      <c r="F220" s="13">
        <f>MAX(0,MIN(C220,D220-E220))</f>
        <v/>
      </c>
      <c r="G220" s="13">
        <f>MAX(0,C220-F220)</f>
        <v/>
      </c>
    </row>
    <row r="221">
      <c r="A221" s="21" t="n">
        <v>187</v>
      </c>
      <c r="B221" s="21" t="inlineStr">
        <is>
          <t>07/01/2041</t>
        </is>
      </c>
      <c r="C221" s="13">
        <f>G220</f>
        <v/>
      </c>
      <c r="D221" s="13">
        <f>$B$10</f>
        <v/>
      </c>
      <c r="E221" s="13">
        <f>MAX(0,C221*$B$9/12)</f>
        <v/>
      </c>
      <c r="F221" s="13">
        <f>MAX(0,MIN(C221,D221-E221))</f>
        <v/>
      </c>
      <c r="G221" s="13">
        <f>MAX(0,C221-F221)</f>
        <v/>
      </c>
    </row>
    <row r="222">
      <c r="A222" s="21" t="n">
        <v>188</v>
      </c>
      <c r="B222" s="21" t="inlineStr">
        <is>
          <t>08/01/2041</t>
        </is>
      </c>
      <c r="C222" s="13">
        <f>G221</f>
        <v/>
      </c>
      <c r="D222" s="13">
        <f>$B$10</f>
        <v/>
      </c>
      <c r="E222" s="13">
        <f>MAX(0,C222*$B$9/12)</f>
        <v/>
      </c>
      <c r="F222" s="13">
        <f>MAX(0,MIN(C222,D222-E222))</f>
        <v/>
      </c>
      <c r="G222" s="13">
        <f>MAX(0,C222-F222)</f>
        <v/>
      </c>
    </row>
    <row r="223">
      <c r="A223" s="21" t="n">
        <v>189</v>
      </c>
      <c r="B223" s="21" t="inlineStr">
        <is>
          <t>09/01/2041</t>
        </is>
      </c>
      <c r="C223" s="13">
        <f>G222</f>
        <v/>
      </c>
      <c r="D223" s="13">
        <f>$B$10</f>
        <v/>
      </c>
      <c r="E223" s="13">
        <f>MAX(0,C223*$B$9/12)</f>
        <v/>
      </c>
      <c r="F223" s="13">
        <f>MAX(0,MIN(C223,D223-E223))</f>
        <v/>
      </c>
      <c r="G223" s="13">
        <f>MAX(0,C223-F223)</f>
        <v/>
      </c>
    </row>
    <row r="224">
      <c r="A224" s="21" t="n">
        <v>190</v>
      </c>
      <c r="B224" s="21" t="inlineStr">
        <is>
          <t>10/01/2041</t>
        </is>
      </c>
      <c r="C224" s="13">
        <f>G223</f>
        <v/>
      </c>
      <c r="D224" s="13">
        <f>$B$10</f>
        <v/>
      </c>
      <c r="E224" s="13">
        <f>MAX(0,C224*$B$9/12)</f>
        <v/>
      </c>
      <c r="F224" s="13">
        <f>MAX(0,MIN(C224,D224-E224))</f>
        <v/>
      </c>
      <c r="G224" s="13">
        <f>MAX(0,C224-F224)</f>
        <v/>
      </c>
    </row>
    <row r="225">
      <c r="A225" s="21" t="n">
        <v>191</v>
      </c>
      <c r="B225" s="21" t="inlineStr">
        <is>
          <t>11/01/2041</t>
        </is>
      </c>
      <c r="C225" s="13">
        <f>G224</f>
        <v/>
      </c>
      <c r="D225" s="13">
        <f>$B$10</f>
        <v/>
      </c>
      <c r="E225" s="13">
        <f>MAX(0,C225*$B$9/12)</f>
        <v/>
      </c>
      <c r="F225" s="13">
        <f>MAX(0,MIN(C225,D225-E225))</f>
        <v/>
      </c>
      <c r="G225" s="13">
        <f>MAX(0,C225-F225)</f>
        <v/>
      </c>
    </row>
    <row r="226">
      <c r="A226" s="21" t="n">
        <v>192</v>
      </c>
      <c r="B226" s="21" t="inlineStr">
        <is>
          <t>12/01/2041</t>
        </is>
      </c>
      <c r="C226" s="13">
        <f>G225</f>
        <v/>
      </c>
      <c r="D226" s="13">
        <f>$B$10</f>
        <v/>
      </c>
      <c r="E226" s="13">
        <f>MAX(0,C226*$B$9/12)</f>
        <v/>
      </c>
      <c r="F226" s="13">
        <f>MAX(0,MIN(C226,D226-E226))</f>
        <v/>
      </c>
      <c r="G226" s="13">
        <f>MAX(0,C226-F226)</f>
        <v/>
      </c>
    </row>
    <row r="227">
      <c r="A227" s="22" t="inlineStr">
        <is>
          <t>2041 TOTAL</t>
        </is>
      </c>
      <c r="B227" s="23" t="n"/>
      <c r="C227" s="23" t="n"/>
      <c r="D227" s="23" t="n"/>
      <c r="E227" s="24">
        <f>SUM(E215:E226)</f>
        <v/>
      </c>
      <c r="F227" s="24">
        <f>SUM(F215:F226)</f>
        <v/>
      </c>
      <c r="G227" s="23" t="n"/>
    </row>
    <row r="228">
      <c r="A228" s="21" t="n">
        <v>193</v>
      </c>
      <c r="B228" s="21" t="inlineStr">
        <is>
          <t>01/01/2042</t>
        </is>
      </c>
      <c r="C228" s="13">
        <f>G227</f>
        <v/>
      </c>
      <c r="D228" s="13">
        <f>$B$10</f>
        <v/>
      </c>
      <c r="E228" s="13">
        <f>MAX(0,C228*$B$9/12)</f>
        <v/>
      </c>
      <c r="F228" s="13">
        <f>MAX(0,MIN(C228,D228-E228))</f>
        <v/>
      </c>
      <c r="G228" s="13">
        <f>MAX(0,C228-F228)</f>
        <v/>
      </c>
    </row>
    <row r="229">
      <c r="A229" s="21" t="n">
        <v>194</v>
      </c>
      <c r="B229" s="21" t="inlineStr">
        <is>
          <t>02/01/2042</t>
        </is>
      </c>
      <c r="C229" s="13">
        <f>G228</f>
        <v/>
      </c>
      <c r="D229" s="13">
        <f>$B$10</f>
        <v/>
      </c>
      <c r="E229" s="13">
        <f>MAX(0,C229*$B$9/12)</f>
        <v/>
      </c>
      <c r="F229" s="13">
        <f>MAX(0,MIN(C229,D229-E229))</f>
        <v/>
      </c>
      <c r="G229" s="13">
        <f>MAX(0,C229-F229)</f>
        <v/>
      </c>
    </row>
    <row r="230">
      <c r="A230" s="21" t="n">
        <v>195</v>
      </c>
      <c r="B230" s="21" t="inlineStr">
        <is>
          <t>03/01/2042</t>
        </is>
      </c>
      <c r="C230" s="13">
        <f>G229</f>
        <v/>
      </c>
      <c r="D230" s="13">
        <f>$B$10</f>
        <v/>
      </c>
      <c r="E230" s="13">
        <f>MAX(0,C230*$B$9/12)</f>
        <v/>
      </c>
      <c r="F230" s="13">
        <f>MAX(0,MIN(C230,D230-E230))</f>
        <v/>
      </c>
      <c r="G230" s="13">
        <f>MAX(0,C230-F230)</f>
        <v/>
      </c>
    </row>
    <row r="231">
      <c r="A231" s="21" t="n">
        <v>196</v>
      </c>
      <c r="B231" s="21" t="inlineStr">
        <is>
          <t>04/01/2042</t>
        </is>
      </c>
      <c r="C231" s="13">
        <f>G230</f>
        <v/>
      </c>
      <c r="D231" s="13">
        <f>$B$10</f>
        <v/>
      </c>
      <c r="E231" s="13">
        <f>MAX(0,C231*$B$9/12)</f>
        <v/>
      </c>
      <c r="F231" s="13">
        <f>MAX(0,MIN(C231,D231-E231))</f>
        <v/>
      </c>
      <c r="G231" s="13">
        <f>MAX(0,C231-F231)</f>
        <v/>
      </c>
    </row>
    <row r="232">
      <c r="A232" s="21" t="n">
        <v>197</v>
      </c>
      <c r="B232" s="21" t="inlineStr">
        <is>
          <t>05/01/2042</t>
        </is>
      </c>
      <c r="C232" s="13">
        <f>G231</f>
        <v/>
      </c>
      <c r="D232" s="13">
        <f>$B$10</f>
        <v/>
      </c>
      <c r="E232" s="13">
        <f>MAX(0,C232*$B$9/12)</f>
        <v/>
      </c>
      <c r="F232" s="13">
        <f>MAX(0,MIN(C232,D232-E232))</f>
        <v/>
      </c>
      <c r="G232" s="13">
        <f>MAX(0,C232-F232)</f>
        <v/>
      </c>
    </row>
    <row r="233">
      <c r="A233" s="21" t="n">
        <v>198</v>
      </c>
      <c r="B233" s="21" t="inlineStr">
        <is>
          <t>06/01/2042</t>
        </is>
      </c>
      <c r="C233" s="13">
        <f>G232</f>
        <v/>
      </c>
      <c r="D233" s="13">
        <f>$B$10</f>
        <v/>
      </c>
      <c r="E233" s="13">
        <f>MAX(0,C233*$B$9/12)</f>
        <v/>
      </c>
      <c r="F233" s="13">
        <f>MAX(0,MIN(C233,D233-E233))</f>
        <v/>
      </c>
      <c r="G233" s="13">
        <f>MAX(0,C233-F233)</f>
        <v/>
      </c>
    </row>
    <row r="234">
      <c r="A234" s="21" t="n">
        <v>199</v>
      </c>
      <c r="B234" s="21" t="inlineStr">
        <is>
          <t>07/01/2042</t>
        </is>
      </c>
      <c r="C234" s="13">
        <f>G233</f>
        <v/>
      </c>
      <c r="D234" s="13">
        <f>$B$10</f>
        <v/>
      </c>
      <c r="E234" s="13">
        <f>MAX(0,C234*$B$9/12)</f>
        <v/>
      </c>
      <c r="F234" s="13">
        <f>MAX(0,MIN(C234,D234-E234))</f>
        <v/>
      </c>
      <c r="G234" s="13">
        <f>MAX(0,C234-F234)</f>
        <v/>
      </c>
    </row>
    <row r="235">
      <c r="A235" s="21" t="n">
        <v>200</v>
      </c>
      <c r="B235" s="21" t="inlineStr">
        <is>
          <t>08/01/2042</t>
        </is>
      </c>
      <c r="C235" s="13">
        <f>G234</f>
        <v/>
      </c>
      <c r="D235" s="13">
        <f>$B$10</f>
        <v/>
      </c>
      <c r="E235" s="13">
        <f>MAX(0,C235*$B$9/12)</f>
        <v/>
      </c>
      <c r="F235" s="13">
        <f>MAX(0,MIN(C235,D235-E235))</f>
        <v/>
      </c>
      <c r="G235" s="13">
        <f>MAX(0,C235-F235)</f>
        <v/>
      </c>
    </row>
    <row r="236">
      <c r="A236" s="21" t="n">
        <v>201</v>
      </c>
      <c r="B236" s="21" t="inlineStr">
        <is>
          <t>09/01/2042</t>
        </is>
      </c>
      <c r="C236" s="13">
        <f>G235</f>
        <v/>
      </c>
      <c r="D236" s="13">
        <f>$B$10</f>
        <v/>
      </c>
      <c r="E236" s="13">
        <f>MAX(0,C236*$B$9/12)</f>
        <v/>
      </c>
      <c r="F236" s="13">
        <f>MAX(0,MIN(C236,D236-E236))</f>
        <v/>
      </c>
      <c r="G236" s="13">
        <f>MAX(0,C236-F236)</f>
        <v/>
      </c>
    </row>
    <row r="237">
      <c r="A237" s="21" t="n">
        <v>202</v>
      </c>
      <c r="B237" s="21" t="inlineStr">
        <is>
          <t>10/01/2042</t>
        </is>
      </c>
      <c r="C237" s="13">
        <f>G236</f>
        <v/>
      </c>
      <c r="D237" s="13">
        <f>$B$10</f>
        <v/>
      </c>
      <c r="E237" s="13">
        <f>MAX(0,C237*$B$9/12)</f>
        <v/>
      </c>
      <c r="F237" s="13">
        <f>MAX(0,MIN(C237,D237-E237))</f>
        <v/>
      </c>
      <c r="G237" s="13">
        <f>MAX(0,C237-F237)</f>
        <v/>
      </c>
    </row>
    <row r="238">
      <c r="A238" s="21" t="n">
        <v>203</v>
      </c>
      <c r="B238" s="21" t="inlineStr">
        <is>
          <t>11/01/2042</t>
        </is>
      </c>
      <c r="C238" s="13">
        <f>G237</f>
        <v/>
      </c>
      <c r="D238" s="13">
        <f>$B$10</f>
        <v/>
      </c>
      <c r="E238" s="13">
        <f>MAX(0,C238*$B$9/12)</f>
        <v/>
      </c>
      <c r="F238" s="13">
        <f>MAX(0,MIN(C238,D238-E238))</f>
        <v/>
      </c>
      <c r="G238" s="13">
        <f>MAX(0,C238-F238)</f>
        <v/>
      </c>
    </row>
    <row r="239">
      <c r="A239" s="21" t="n">
        <v>204</v>
      </c>
      <c r="B239" s="21" t="inlineStr">
        <is>
          <t>12/01/2042</t>
        </is>
      </c>
      <c r="C239" s="13">
        <f>G238</f>
        <v/>
      </c>
      <c r="D239" s="13">
        <f>$B$10</f>
        <v/>
      </c>
      <c r="E239" s="13">
        <f>MAX(0,C239*$B$9/12)</f>
        <v/>
      </c>
      <c r="F239" s="13">
        <f>MAX(0,MIN(C239,D239-E239))</f>
        <v/>
      </c>
      <c r="G239" s="13">
        <f>MAX(0,C239-F239)</f>
        <v/>
      </c>
    </row>
    <row r="240">
      <c r="A240" s="22" t="inlineStr">
        <is>
          <t>2042 TOTAL</t>
        </is>
      </c>
      <c r="B240" s="23" t="n"/>
      <c r="C240" s="23" t="n"/>
      <c r="D240" s="23" t="n"/>
      <c r="E240" s="24">
        <f>SUM(E228:E239)</f>
        <v/>
      </c>
      <c r="F240" s="24">
        <f>SUM(F228:F239)</f>
        <v/>
      </c>
      <c r="G240" s="23" t="n"/>
    </row>
    <row r="241">
      <c r="A241" s="21" t="n">
        <v>205</v>
      </c>
      <c r="B241" s="21" t="inlineStr">
        <is>
          <t>01/01/2043</t>
        </is>
      </c>
      <c r="C241" s="13">
        <f>G240</f>
        <v/>
      </c>
      <c r="D241" s="13">
        <f>$B$10</f>
        <v/>
      </c>
      <c r="E241" s="13">
        <f>MAX(0,C241*$B$9/12)</f>
        <v/>
      </c>
      <c r="F241" s="13">
        <f>MAX(0,MIN(C241,D241-E241))</f>
        <v/>
      </c>
      <c r="G241" s="13">
        <f>MAX(0,C241-F241)</f>
        <v/>
      </c>
    </row>
    <row r="242">
      <c r="A242" s="21" t="n">
        <v>206</v>
      </c>
      <c r="B242" s="21" t="inlineStr">
        <is>
          <t>02/01/2043</t>
        </is>
      </c>
      <c r="C242" s="13">
        <f>G241</f>
        <v/>
      </c>
      <c r="D242" s="13">
        <f>$B$10</f>
        <v/>
      </c>
      <c r="E242" s="13">
        <f>MAX(0,C242*$B$9/12)</f>
        <v/>
      </c>
      <c r="F242" s="13">
        <f>MAX(0,MIN(C242,D242-E242))</f>
        <v/>
      </c>
      <c r="G242" s="13">
        <f>MAX(0,C242-F242)</f>
        <v/>
      </c>
    </row>
    <row r="243">
      <c r="A243" s="21" t="n">
        <v>207</v>
      </c>
      <c r="B243" s="21" t="inlineStr">
        <is>
          <t>03/01/2043</t>
        </is>
      </c>
      <c r="C243" s="13">
        <f>G242</f>
        <v/>
      </c>
      <c r="D243" s="13">
        <f>$B$10</f>
        <v/>
      </c>
      <c r="E243" s="13">
        <f>MAX(0,C243*$B$9/12)</f>
        <v/>
      </c>
      <c r="F243" s="13">
        <f>MAX(0,MIN(C243,D243-E243))</f>
        <v/>
      </c>
      <c r="G243" s="13">
        <f>MAX(0,C243-F243)</f>
        <v/>
      </c>
    </row>
    <row r="244">
      <c r="A244" s="21" t="n">
        <v>208</v>
      </c>
      <c r="B244" s="21" t="inlineStr">
        <is>
          <t>04/01/2043</t>
        </is>
      </c>
      <c r="C244" s="13">
        <f>G243</f>
        <v/>
      </c>
      <c r="D244" s="13">
        <f>$B$10</f>
        <v/>
      </c>
      <c r="E244" s="13">
        <f>MAX(0,C244*$B$9/12)</f>
        <v/>
      </c>
      <c r="F244" s="13">
        <f>MAX(0,MIN(C244,D244-E244))</f>
        <v/>
      </c>
      <c r="G244" s="13">
        <f>MAX(0,C244-F244)</f>
        <v/>
      </c>
    </row>
    <row r="245">
      <c r="A245" s="21" t="n">
        <v>209</v>
      </c>
      <c r="B245" s="21" t="inlineStr">
        <is>
          <t>05/01/2043</t>
        </is>
      </c>
      <c r="C245" s="13">
        <f>G244</f>
        <v/>
      </c>
      <c r="D245" s="13">
        <f>$B$10</f>
        <v/>
      </c>
      <c r="E245" s="13">
        <f>MAX(0,C245*$B$9/12)</f>
        <v/>
      </c>
      <c r="F245" s="13">
        <f>MAX(0,MIN(C245,D245-E245))</f>
        <v/>
      </c>
      <c r="G245" s="13">
        <f>MAX(0,C245-F245)</f>
        <v/>
      </c>
    </row>
    <row r="246">
      <c r="A246" s="21" t="n">
        <v>210</v>
      </c>
      <c r="B246" s="21" t="inlineStr">
        <is>
          <t>06/01/2043</t>
        </is>
      </c>
      <c r="C246" s="13">
        <f>G245</f>
        <v/>
      </c>
      <c r="D246" s="13">
        <f>$B$10</f>
        <v/>
      </c>
      <c r="E246" s="13">
        <f>MAX(0,C246*$B$9/12)</f>
        <v/>
      </c>
      <c r="F246" s="13">
        <f>MAX(0,MIN(C246,D246-E246))</f>
        <v/>
      </c>
      <c r="G246" s="13">
        <f>MAX(0,C246-F246)</f>
        <v/>
      </c>
    </row>
    <row r="247">
      <c r="A247" s="21" t="n">
        <v>211</v>
      </c>
      <c r="B247" s="21" t="inlineStr">
        <is>
          <t>07/01/2043</t>
        </is>
      </c>
      <c r="C247" s="13">
        <f>G246</f>
        <v/>
      </c>
      <c r="D247" s="13">
        <f>$B$10</f>
        <v/>
      </c>
      <c r="E247" s="13">
        <f>MAX(0,C247*$B$9/12)</f>
        <v/>
      </c>
      <c r="F247" s="13">
        <f>MAX(0,MIN(C247,D247-E247))</f>
        <v/>
      </c>
      <c r="G247" s="13">
        <f>MAX(0,C247-F247)</f>
        <v/>
      </c>
    </row>
    <row r="248">
      <c r="A248" s="21" t="n">
        <v>212</v>
      </c>
      <c r="B248" s="21" t="inlineStr">
        <is>
          <t>08/01/2043</t>
        </is>
      </c>
      <c r="C248" s="13">
        <f>G247</f>
        <v/>
      </c>
      <c r="D248" s="13">
        <f>$B$10</f>
        <v/>
      </c>
      <c r="E248" s="13">
        <f>MAX(0,C248*$B$9/12)</f>
        <v/>
      </c>
      <c r="F248" s="13">
        <f>MAX(0,MIN(C248,D248-E248))</f>
        <v/>
      </c>
      <c r="G248" s="13">
        <f>MAX(0,C248-F248)</f>
        <v/>
      </c>
    </row>
    <row r="249">
      <c r="A249" s="21" t="n">
        <v>213</v>
      </c>
      <c r="B249" s="21" t="inlineStr">
        <is>
          <t>09/01/2043</t>
        </is>
      </c>
      <c r="C249" s="13">
        <f>G248</f>
        <v/>
      </c>
      <c r="D249" s="13">
        <f>$B$10</f>
        <v/>
      </c>
      <c r="E249" s="13">
        <f>MAX(0,C249*$B$9/12)</f>
        <v/>
      </c>
      <c r="F249" s="13">
        <f>MAX(0,MIN(C249,D249-E249))</f>
        <v/>
      </c>
      <c r="G249" s="13">
        <f>MAX(0,C249-F249)</f>
        <v/>
      </c>
    </row>
    <row r="250">
      <c r="A250" s="21" t="n">
        <v>214</v>
      </c>
      <c r="B250" s="21" t="inlineStr">
        <is>
          <t>10/01/2043</t>
        </is>
      </c>
      <c r="C250" s="13">
        <f>G249</f>
        <v/>
      </c>
      <c r="D250" s="13">
        <f>$B$10</f>
        <v/>
      </c>
      <c r="E250" s="13">
        <f>MAX(0,C250*$B$9/12)</f>
        <v/>
      </c>
      <c r="F250" s="13">
        <f>MAX(0,MIN(C250,D250-E250))</f>
        <v/>
      </c>
      <c r="G250" s="13">
        <f>MAX(0,C250-F250)</f>
        <v/>
      </c>
    </row>
    <row r="251">
      <c r="A251" s="21" t="n">
        <v>215</v>
      </c>
      <c r="B251" s="21" t="inlineStr">
        <is>
          <t>11/01/2043</t>
        </is>
      </c>
      <c r="C251" s="13">
        <f>G250</f>
        <v/>
      </c>
      <c r="D251" s="13">
        <f>$B$10</f>
        <v/>
      </c>
      <c r="E251" s="13">
        <f>MAX(0,C251*$B$9/12)</f>
        <v/>
      </c>
      <c r="F251" s="13">
        <f>MAX(0,MIN(C251,D251-E251))</f>
        <v/>
      </c>
      <c r="G251" s="13">
        <f>MAX(0,C251-F251)</f>
        <v/>
      </c>
    </row>
    <row r="252">
      <c r="A252" s="21" t="n">
        <v>216</v>
      </c>
      <c r="B252" s="21" t="inlineStr">
        <is>
          <t>12/01/2043</t>
        </is>
      </c>
      <c r="C252" s="13">
        <f>G251</f>
        <v/>
      </c>
      <c r="D252" s="13">
        <f>$B$10</f>
        <v/>
      </c>
      <c r="E252" s="13">
        <f>MAX(0,C252*$B$9/12)</f>
        <v/>
      </c>
      <c r="F252" s="13">
        <f>MAX(0,MIN(C252,D252-E252))</f>
        <v/>
      </c>
      <c r="G252" s="13">
        <f>MAX(0,C252-F252)</f>
        <v/>
      </c>
    </row>
    <row r="253">
      <c r="A253" s="22" t="inlineStr">
        <is>
          <t>2043 TOTAL</t>
        </is>
      </c>
      <c r="B253" s="23" t="n"/>
      <c r="C253" s="23" t="n"/>
      <c r="D253" s="23" t="n"/>
      <c r="E253" s="24">
        <f>SUM(E241:E252)</f>
        <v/>
      </c>
      <c r="F253" s="24">
        <f>SUM(F241:F252)</f>
        <v/>
      </c>
      <c r="G253" s="23" t="n"/>
    </row>
    <row r="254">
      <c r="A254" s="21" t="n">
        <v>217</v>
      </c>
      <c r="B254" s="21" t="inlineStr">
        <is>
          <t>01/01/2044</t>
        </is>
      </c>
      <c r="C254" s="13">
        <f>G253</f>
        <v/>
      </c>
      <c r="D254" s="13">
        <f>$B$10</f>
        <v/>
      </c>
      <c r="E254" s="13">
        <f>MAX(0,C254*$B$9/12)</f>
        <v/>
      </c>
      <c r="F254" s="13">
        <f>MAX(0,MIN(C254,D254-E254))</f>
        <v/>
      </c>
      <c r="G254" s="13">
        <f>MAX(0,C254-F254)</f>
        <v/>
      </c>
    </row>
    <row r="255">
      <c r="A255" s="21" t="n">
        <v>218</v>
      </c>
      <c r="B255" s="21" t="inlineStr">
        <is>
          <t>02/01/2044</t>
        </is>
      </c>
      <c r="C255" s="13">
        <f>G254</f>
        <v/>
      </c>
      <c r="D255" s="13">
        <f>$B$10</f>
        <v/>
      </c>
      <c r="E255" s="13">
        <f>MAX(0,C255*$B$9/12)</f>
        <v/>
      </c>
      <c r="F255" s="13">
        <f>MAX(0,MIN(C255,D255-E255))</f>
        <v/>
      </c>
      <c r="G255" s="13">
        <f>MAX(0,C255-F255)</f>
        <v/>
      </c>
    </row>
    <row r="256">
      <c r="A256" s="21" t="n">
        <v>219</v>
      </c>
      <c r="B256" s="21" t="inlineStr">
        <is>
          <t>03/01/2044</t>
        </is>
      </c>
      <c r="C256" s="13">
        <f>G255</f>
        <v/>
      </c>
      <c r="D256" s="13">
        <f>$B$10</f>
        <v/>
      </c>
      <c r="E256" s="13">
        <f>MAX(0,C256*$B$9/12)</f>
        <v/>
      </c>
      <c r="F256" s="13">
        <f>MAX(0,MIN(C256,D256-E256))</f>
        <v/>
      </c>
      <c r="G256" s="13">
        <f>MAX(0,C256-F256)</f>
        <v/>
      </c>
    </row>
    <row r="257">
      <c r="A257" s="21" t="n">
        <v>220</v>
      </c>
      <c r="B257" s="21" t="inlineStr">
        <is>
          <t>04/01/2044</t>
        </is>
      </c>
      <c r="C257" s="13">
        <f>G256</f>
        <v/>
      </c>
      <c r="D257" s="13">
        <f>$B$10</f>
        <v/>
      </c>
      <c r="E257" s="13">
        <f>MAX(0,C257*$B$9/12)</f>
        <v/>
      </c>
      <c r="F257" s="13">
        <f>MAX(0,MIN(C257,D257-E257))</f>
        <v/>
      </c>
      <c r="G257" s="13">
        <f>MAX(0,C257-F257)</f>
        <v/>
      </c>
    </row>
    <row r="258">
      <c r="A258" s="21" t="n">
        <v>221</v>
      </c>
      <c r="B258" s="21" t="inlineStr">
        <is>
          <t>05/01/2044</t>
        </is>
      </c>
      <c r="C258" s="13">
        <f>G257</f>
        <v/>
      </c>
      <c r="D258" s="13">
        <f>$B$10</f>
        <v/>
      </c>
      <c r="E258" s="13">
        <f>MAX(0,C258*$B$9/12)</f>
        <v/>
      </c>
      <c r="F258" s="13">
        <f>MAX(0,MIN(C258,D258-E258))</f>
        <v/>
      </c>
      <c r="G258" s="13">
        <f>MAX(0,C258-F258)</f>
        <v/>
      </c>
    </row>
    <row r="259">
      <c r="A259" s="21" t="n">
        <v>222</v>
      </c>
      <c r="B259" s="21" t="inlineStr">
        <is>
          <t>06/01/2044</t>
        </is>
      </c>
      <c r="C259" s="13">
        <f>G258</f>
        <v/>
      </c>
      <c r="D259" s="13">
        <f>$B$10</f>
        <v/>
      </c>
      <c r="E259" s="13">
        <f>MAX(0,C259*$B$9/12)</f>
        <v/>
      </c>
      <c r="F259" s="13">
        <f>MAX(0,MIN(C259,D259-E259))</f>
        <v/>
      </c>
      <c r="G259" s="13">
        <f>MAX(0,C259-F259)</f>
        <v/>
      </c>
    </row>
    <row r="260">
      <c r="A260" s="21" t="n">
        <v>223</v>
      </c>
      <c r="B260" s="21" t="inlineStr">
        <is>
          <t>07/01/2044</t>
        </is>
      </c>
      <c r="C260" s="13">
        <f>G259</f>
        <v/>
      </c>
      <c r="D260" s="13">
        <f>$B$10</f>
        <v/>
      </c>
      <c r="E260" s="13">
        <f>MAX(0,C260*$B$9/12)</f>
        <v/>
      </c>
      <c r="F260" s="13">
        <f>MAX(0,MIN(C260,D260-E260))</f>
        <v/>
      </c>
      <c r="G260" s="13">
        <f>MAX(0,C260-F260)</f>
        <v/>
      </c>
    </row>
    <row r="261">
      <c r="A261" s="21" t="n">
        <v>224</v>
      </c>
      <c r="B261" s="21" t="inlineStr">
        <is>
          <t>08/01/2044</t>
        </is>
      </c>
      <c r="C261" s="13">
        <f>G260</f>
        <v/>
      </c>
      <c r="D261" s="13">
        <f>$B$10</f>
        <v/>
      </c>
      <c r="E261" s="13">
        <f>MAX(0,C261*$B$9/12)</f>
        <v/>
      </c>
      <c r="F261" s="13">
        <f>MAX(0,MIN(C261,D261-E261))</f>
        <v/>
      </c>
      <c r="G261" s="13">
        <f>MAX(0,C261-F261)</f>
        <v/>
      </c>
    </row>
    <row r="262">
      <c r="A262" s="21" t="n">
        <v>225</v>
      </c>
      <c r="B262" s="21" t="inlineStr">
        <is>
          <t>09/01/2044</t>
        </is>
      </c>
      <c r="C262" s="13">
        <f>G261</f>
        <v/>
      </c>
      <c r="D262" s="13">
        <f>$B$10</f>
        <v/>
      </c>
      <c r="E262" s="13">
        <f>MAX(0,C262*$B$9/12)</f>
        <v/>
      </c>
      <c r="F262" s="13">
        <f>MAX(0,MIN(C262,D262-E262))</f>
        <v/>
      </c>
      <c r="G262" s="13">
        <f>MAX(0,C262-F262)</f>
        <v/>
      </c>
    </row>
    <row r="263">
      <c r="A263" s="21" t="n">
        <v>226</v>
      </c>
      <c r="B263" s="21" t="inlineStr">
        <is>
          <t>10/01/2044</t>
        </is>
      </c>
      <c r="C263" s="13">
        <f>G262</f>
        <v/>
      </c>
      <c r="D263" s="13">
        <f>$B$10</f>
        <v/>
      </c>
      <c r="E263" s="13">
        <f>MAX(0,C263*$B$9/12)</f>
        <v/>
      </c>
      <c r="F263" s="13">
        <f>MAX(0,MIN(C263,D263-E263))</f>
        <v/>
      </c>
      <c r="G263" s="13">
        <f>MAX(0,C263-F263)</f>
        <v/>
      </c>
    </row>
    <row r="264">
      <c r="A264" s="21" t="n">
        <v>227</v>
      </c>
      <c r="B264" s="21" t="inlineStr">
        <is>
          <t>11/01/2044</t>
        </is>
      </c>
      <c r="C264" s="13">
        <f>G263</f>
        <v/>
      </c>
      <c r="D264" s="13">
        <f>$B$10</f>
        <v/>
      </c>
      <c r="E264" s="13">
        <f>MAX(0,C264*$B$9/12)</f>
        <v/>
      </c>
      <c r="F264" s="13">
        <f>MAX(0,MIN(C264,D264-E264))</f>
        <v/>
      </c>
      <c r="G264" s="13">
        <f>MAX(0,C264-F264)</f>
        <v/>
      </c>
    </row>
    <row r="265">
      <c r="A265" s="21" t="n">
        <v>228</v>
      </c>
      <c r="B265" s="21" t="inlineStr">
        <is>
          <t>12/01/2044</t>
        </is>
      </c>
      <c r="C265" s="13">
        <f>G264</f>
        <v/>
      </c>
      <c r="D265" s="13">
        <f>$B$10</f>
        <v/>
      </c>
      <c r="E265" s="13">
        <f>MAX(0,C265*$B$9/12)</f>
        <v/>
      </c>
      <c r="F265" s="13">
        <f>MAX(0,MIN(C265,D265-E265))</f>
        <v/>
      </c>
      <c r="G265" s="13">
        <f>MAX(0,C265-F265)</f>
        <v/>
      </c>
    </row>
    <row r="266">
      <c r="A266" s="22" t="inlineStr">
        <is>
          <t>2044 TOTAL</t>
        </is>
      </c>
      <c r="B266" s="23" t="n"/>
      <c r="C266" s="23" t="n"/>
      <c r="D266" s="23" t="n"/>
      <c r="E266" s="24">
        <f>SUM(E254:E265)</f>
        <v/>
      </c>
      <c r="F266" s="24">
        <f>SUM(F254:F265)</f>
        <v/>
      </c>
      <c r="G266" s="23" t="n"/>
    </row>
    <row r="267">
      <c r="A267" s="21" t="n">
        <v>229</v>
      </c>
      <c r="B267" s="21" t="inlineStr">
        <is>
          <t>01/01/2045</t>
        </is>
      </c>
      <c r="C267" s="13">
        <f>G266</f>
        <v/>
      </c>
      <c r="D267" s="13">
        <f>$B$10</f>
        <v/>
      </c>
      <c r="E267" s="13">
        <f>MAX(0,C267*$B$9/12)</f>
        <v/>
      </c>
      <c r="F267" s="13">
        <f>MAX(0,MIN(C267,D267-E267))</f>
        <v/>
      </c>
      <c r="G267" s="13">
        <f>MAX(0,C267-F267)</f>
        <v/>
      </c>
    </row>
    <row r="268">
      <c r="A268" s="21" t="n">
        <v>230</v>
      </c>
      <c r="B268" s="21" t="inlineStr">
        <is>
          <t>02/01/2045</t>
        </is>
      </c>
      <c r="C268" s="13">
        <f>G267</f>
        <v/>
      </c>
      <c r="D268" s="13">
        <f>$B$10</f>
        <v/>
      </c>
      <c r="E268" s="13">
        <f>MAX(0,C268*$B$9/12)</f>
        <v/>
      </c>
      <c r="F268" s="13">
        <f>MAX(0,MIN(C268,D268-E268))</f>
        <v/>
      </c>
      <c r="G268" s="13">
        <f>MAX(0,C268-F268)</f>
        <v/>
      </c>
    </row>
    <row r="269">
      <c r="A269" s="21" t="n">
        <v>231</v>
      </c>
      <c r="B269" s="21" t="inlineStr">
        <is>
          <t>03/01/2045</t>
        </is>
      </c>
      <c r="C269" s="13">
        <f>G268</f>
        <v/>
      </c>
      <c r="D269" s="13">
        <f>$B$10</f>
        <v/>
      </c>
      <c r="E269" s="13">
        <f>MAX(0,C269*$B$9/12)</f>
        <v/>
      </c>
      <c r="F269" s="13">
        <f>MAX(0,MIN(C269,D269-E269))</f>
        <v/>
      </c>
      <c r="G269" s="13">
        <f>MAX(0,C269-F269)</f>
        <v/>
      </c>
    </row>
    <row r="270">
      <c r="A270" s="21" t="n">
        <v>232</v>
      </c>
      <c r="B270" s="21" t="inlineStr">
        <is>
          <t>04/01/2045</t>
        </is>
      </c>
      <c r="C270" s="13">
        <f>G269</f>
        <v/>
      </c>
      <c r="D270" s="13">
        <f>$B$10</f>
        <v/>
      </c>
      <c r="E270" s="13">
        <f>MAX(0,C270*$B$9/12)</f>
        <v/>
      </c>
      <c r="F270" s="13">
        <f>MAX(0,MIN(C270,D270-E270))</f>
        <v/>
      </c>
      <c r="G270" s="13">
        <f>MAX(0,C270-F270)</f>
        <v/>
      </c>
    </row>
    <row r="271">
      <c r="A271" s="21" t="n">
        <v>233</v>
      </c>
      <c r="B271" s="21" t="inlineStr">
        <is>
          <t>05/01/2045</t>
        </is>
      </c>
      <c r="C271" s="13">
        <f>G270</f>
        <v/>
      </c>
      <c r="D271" s="13">
        <f>$B$10</f>
        <v/>
      </c>
      <c r="E271" s="13">
        <f>MAX(0,C271*$B$9/12)</f>
        <v/>
      </c>
      <c r="F271" s="13">
        <f>MAX(0,MIN(C271,D271-E271))</f>
        <v/>
      </c>
      <c r="G271" s="13">
        <f>MAX(0,C271-F271)</f>
        <v/>
      </c>
    </row>
    <row r="272">
      <c r="A272" s="21" t="n">
        <v>234</v>
      </c>
      <c r="B272" s="21" t="inlineStr">
        <is>
          <t>06/01/2045</t>
        </is>
      </c>
      <c r="C272" s="13">
        <f>G271</f>
        <v/>
      </c>
      <c r="D272" s="13">
        <f>$B$10</f>
        <v/>
      </c>
      <c r="E272" s="13">
        <f>MAX(0,C272*$B$9/12)</f>
        <v/>
      </c>
      <c r="F272" s="13">
        <f>MAX(0,MIN(C272,D272-E272))</f>
        <v/>
      </c>
      <c r="G272" s="13">
        <f>MAX(0,C272-F272)</f>
        <v/>
      </c>
    </row>
    <row r="273">
      <c r="A273" s="21" t="n">
        <v>235</v>
      </c>
      <c r="B273" s="21" t="inlineStr">
        <is>
          <t>07/01/2045</t>
        </is>
      </c>
      <c r="C273" s="13">
        <f>G272</f>
        <v/>
      </c>
      <c r="D273" s="13">
        <f>$B$10</f>
        <v/>
      </c>
      <c r="E273" s="13">
        <f>MAX(0,C273*$B$9/12)</f>
        <v/>
      </c>
      <c r="F273" s="13">
        <f>MAX(0,MIN(C273,D273-E273))</f>
        <v/>
      </c>
      <c r="G273" s="13">
        <f>MAX(0,C273-F273)</f>
        <v/>
      </c>
    </row>
    <row r="274">
      <c r="A274" s="21" t="n">
        <v>236</v>
      </c>
      <c r="B274" s="21" t="inlineStr">
        <is>
          <t>08/01/2045</t>
        </is>
      </c>
      <c r="C274" s="13">
        <f>G273</f>
        <v/>
      </c>
      <c r="D274" s="13">
        <f>$B$10</f>
        <v/>
      </c>
      <c r="E274" s="13">
        <f>MAX(0,C274*$B$9/12)</f>
        <v/>
      </c>
      <c r="F274" s="13">
        <f>MAX(0,MIN(C274,D274-E274))</f>
        <v/>
      </c>
      <c r="G274" s="13">
        <f>MAX(0,C274-F274)</f>
        <v/>
      </c>
    </row>
    <row r="275">
      <c r="A275" s="21" t="n">
        <v>237</v>
      </c>
      <c r="B275" s="21" t="inlineStr">
        <is>
          <t>09/01/2045</t>
        </is>
      </c>
      <c r="C275" s="13">
        <f>G274</f>
        <v/>
      </c>
      <c r="D275" s="13">
        <f>$B$10</f>
        <v/>
      </c>
      <c r="E275" s="13">
        <f>MAX(0,C275*$B$9/12)</f>
        <v/>
      </c>
      <c r="F275" s="13">
        <f>MAX(0,MIN(C275,D275-E275))</f>
        <v/>
      </c>
      <c r="G275" s="13">
        <f>MAX(0,C275-F275)</f>
        <v/>
      </c>
    </row>
    <row r="276">
      <c r="A276" s="21" t="n">
        <v>238</v>
      </c>
      <c r="B276" s="21" t="inlineStr">
        <is>
          <t>10/01/2045</t>
        </is>
      </c>
      <c r="C276" s="13">
        <f>G275</f>
        <v/>
      </c>
      <c r="D276" s="13">
        <f>$B$10</f>
        <v/>
      </c>
      <c r="E276" s="13">
        <f>MAX(0,C276*$B$9/12)</f>
        <v/>
      </c>
      <c r="F276" s="13">
        <f>MAX(0,MIN(C276,D276-E276))</f>
        <v/>
      </c>
      <c r="G276" s="13">
        <f>MAX(0,C276-F276)</f>
        <v/>
      </c>
    </row>
    <row r="277">
      <c r="A277" s="21" t="n">
        <v>239</v>
      </c>
      <c r="B277" s="21" t="inlineStr">
        <is>
          <t>11/01/2045</t>
        </is>
      </c>
      <c r="C277" s="13">
        <f>G276</f>
        <v/>
      </c>
      <c r="D277" s="13">
        <f>$B$10</f>
        <v/>
      </c>
      <c r="E277" s="13">
        <f>MAX(0,C277*$B$9/12)</f>
        <v/>
      </c>
      <c r="F277" s="13">
        <f>MAX(0,MIN(C277,D277-E277))</f>
        <v/>
      </c>
      <c r="G277" s="13">
        <f>MAX(0,C277-F277)</f>
        <v/>
      </c>
    </row>
    <row r="278">
      <c r="A278" s="21" t="n">
        <v>240</v>
      </c>
      <c r="B278" s="21" t="inlineStr">
        <is>
          <t>12/01/2045</t>
        </is>
      </c>
      <c r="C278" s="13">
        <f>G277</f>
        <v/>
      </c>
      <c r="D278" s="13">
        <f>$B$10</f>
        <v/>
      </c>
      <c r="E278" s="13">
        <f>MAX(0,C278*$B$9/12)</f>
        <v/>
      </c>
      <c r="F278" s="13">
        <f>MAX(0,MIN(C278,D278-E278))</f>
        <v/>
      </c>
      <c r="G278" s="13">
        <f>MAX(0,C278-F278)</f>
        <v/>
      </c>
    </row>
    <row r="279">
      <c r="A279" s="22" t="inlineStr">
        <is>
          <t>2045 TOTAL</t>
        </is>
      </c>
      <c r="B279" s="23" t="n"/>
      <c r="C279" s="23" t="n"/>
      <c r="D279" s="23" t="n"/>
      <c r="E279" s="24">
        <f>SUM(E267:E278)</f>
        <v/>
      </c>
      <c r="F279" s="24">
        <f>SUM(F267:F278)</f>
        <v/>
      </c>
      <c r="G279" s="23" t="n"/>
    </row>
    <row r="280">
      <c r="A280" s="21" t="n">
        <v>241</v>
      </c>
      <c r="B280" s="21" t="inlineStr">
        <is>
          <t>01/01/2046</t>
        </is>
      </c>
      <c r="C280" s="13">
        <f>G279</f>
        <v/>
      </c>
      <c r="D280" s="13">
        <f>$B$10</f>
        <v/>
      </c>
      <c r="E280" s="13">
        <f>MAX(0,C280*$B$9/12)</f>
        <v/>
      </c>
      <c r="F280" s="13">
        <f>MAX(0,MIN(C280,D280-E280))</f>
        <v/>
      </c>
      <c r="G280" s="13">
        <f>MAX(0,C280-F280)</f>
        <v/>
      </c>
    </row>
    <row r="281">
      <c r="A281" s="21" t="n">
        <v>242</v>
      </c>
      <c r="B281" s="21" t="inlineStr">
        <is>
          <t>02/01/2046</t>
        </is>
      </c>
      <c r="C281" s="13">
        <f>G280</f>
        <v/>
      </c>
      <c r="D281" s="13">
        <f>$B$10</f>
        <v/>
      </c>
      <c r="E281" s="13">
        <f>MAX(0,C281*$B$9/12)</f>
        <v/>
      </c>
      <c r="F281" s="13">
        <f>MAX(0,MIN(C281,D281-E281))</f>
        <v/>
      </c>
      <c r="G281" s="13">
        <f>MAX(0,C281-F281)</f>
        <v/>
      </c>
    </row>
    <row r="282">
      <c r="A282" s="21" t="n">
        <v>243</v>
      </c>
      <c r="B282" s="21" t="inlineStr">
        <is>
          <t>03/01/2046</t>
        </is>
      </c>
      <c r="C282" s="13">
        <f>G281</f>
        <v/>
      </c>
      <c r="D282" s="13">
        <f>$B$10</f>
        <v/>
      </c>
      <c r="E282" s="13">
        <f>MAX(0,C282*$B$9/12)</f>
        <v/>
      </c>
      <c r="F282" s="13">
        <f>MAX(0,MIN(C282,D282-E282))</f>
        <v/>
      </c>
      <c r="G282" s="13">
        <f>MAX(0,C282-F282)</f>
        <v/>
      </c>
    </row>
    <row r="283">
      <c r="A283" s="21" t="n">
        <v>244</v>
      </c>
      <c r="B283" s="21" t="inlineStr">
        <is>
          <t>04/01/2046</t>
        </is>
      </c>
      <c r="C283" s="13">
        <f>G282</f>
        <v/>
      </c>
      <c r="D283" s="13">
        <f>$B$10</f>
        <v/>
      </c>
      <c r="E283" s="13">
        <f>MAX(0,C283*$B$9/12)</f>
        <v/>
      </c>
      <c r="F283" s="13">
        <f>MAX(0,MIN(C283,D283-E283))</f>
        <v/>
      </c>
      <c r="G283" s="13">
        <f>MAX(0,C283-F283)</f>
        <v/>
      </c>
    </row>
    <row r="284">
      <c r="A284" s="22" t="inlineStr">
        <is>
          <t>2046 TOTAL</t>
        </is>
      </c>
      <c r="B284" s="23" t="n"/>
      <c r="C284" s="23" t="n"/>
      <c r="D284" s="23" t="n"/>
      <c r="E284" s="24">
        <f>SUM(E280:E283)</f>
        <v/>
      </c>
      <c r="F284" s="24">
        <f>SUM(F280:F283)</f>
        <v/>
      </c>
      <c r="G284" s="23" t="n"/>
    </row>
    <row r="286">
      <c r="A286" s="2" t="inlineStr">
        <is>
          <t>ANNUAL SUMMARY (2026-2028)</t>
        </is>
      </c>
    </row>
    <row r="287">
      <c r="A287" s="25" t="inlineStr">
        <is>
          <t>Year</t>
        </is>
      </c>
      <c r="B287" s="25" t="inlineStr">
        <is>
          <t>Total Interest</t>
        </is>
      </c>
      <c r="C287" s="25" t="inlineStr">
        <is>
          <t>Total Principal</t>
        </is>
      </c>
      <c r="D287" s="25" t="inlineStr">
        <is>
          <t>Ending Balance</t>
        </is>
      </c>
    </row>
    <row r="288">
      <c r="A288" s="21" t="n">
        <v>2026</v>
      </c>
      <c r="B288" s="13">
        <f>E32</f>
        <v/>
      </c>
      <c r="C288" s="13">
        <f>F32</f>
        <v/>
      </c>
      <c r="D288" s="13">
        <f>G31</f>
        <v/>
      </c>
    </row>
    <row r="289">
      <c r="A289" s="21" t="n">
        <v>2027</v>
      </c>
      <c r="B289" s="13">
        <f>E45</f>
        <v/>
      </c>
      <c r="C289" s="13">
        <f>F45</f>
        <v/>
      </c>
      <c r="D289" s="13">
        <f>G44</f>
        <v/>
      </c>
    </row>
    <row r="290">
      <c r="A290" s="21" t="n">
        <v>2028</v>
      </c>
      <c r="B290" s="13">
        <f>E58</f>
        <v/>
      </c>
      <c r="C290" s="13">
        <f>F58</f>
        <v/>
      </c>
      <c r="D290" s="13">
        <f>G57</f>
        <v/>
      </c>
    </row>
  </sheetData>
  <mergeCells count="5">
    <mergeCell ref="A13:G13"/>
    <mergeCell ref="B16:G16"/>
    <mergeCell ref="A1:G1"/>
    <mergeCell ref="B4:D4"/>
    <mergeCell ref="A286:D286"/>
  </mergeCells>
  <pageMargins left="0.75" right="0.75" top="1" bottom="1" header="0.5" footer="0.5"/>
  <legacyDrawing xmlns:r="http://schemas.openxmlformats.org/officeDocument/2006/relationships" r:id="anysvml"/>
</worksheet>
</file>

<file path=xl/worksheets/sheet13.xml><?xml version="1.0" encoding="utf-8"?>
<worksheet xmlns="http://schemas.openxmlformats.org/spreadsheetml/2006/main">
  <sheetPr>
    <tabColor rgb="00808080"/>
    <outlinePr summaryBelow="1" summaryRight="1"/>
    <pageSetUpPr/>
  </sheetPr>
  <dimension ref="A1:F40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PACCAR FINANCIAL - LOAN #1</t>
        </is>
      </c>
    </row>
    <row r="2">
      <c r="A2" t="inlineStr">
        <is>
          <t>Description:</t>
        </is>
      </c>
      <c r="B2" s="4" t="inlineStr">
        <is>
          <t>15 Kenworth T-680</t>
        </is>
      </c>
    </row>
    <row r="3">
      <c r="A3" t="inlineStr">
        <is>
          <t>Loan ID:</t>
        </is>
      </c>
      <c r="B3" t="inlineStr">
        <is>
          <t>05-2956-000-000-00</t>
        </is>
      </c>
    </row>
    <row r="4">
      <c r="A4" t="inlineStr">
        <is>
          <t>Loan Number:</t>
        </is>
      </c>
      <c r="B4" t="inlineStr">
        <is>
          <t>7185689</t>
        </is>
      </c>
    </row>
    <row r="5">
      <c r="A5" t="inlineStr">
        <is>
          <t>Collateral:</t>
        </is>
      </c>
      <c r="B5" t="inlineStr">
        <is>
          <t>Equipment - Semi Trucks</t>
        </is>
      </c>
    </row>
    <row r="6">
      <c r="A6" t="inlineStr">
        <is>
          <t>Opening Balance (12/31/25):</t>
        </is>
      </c>
      <c r="B6" s="26" t="n">
        <v>15594</v>
      </c>
    </row>
    <row r="7">
      <c r="A7" t="inlineStr">
        <is>
          <t>Annual Interest Rate:</t>
        </is>
      </c>
      <c r="B7" s="6" t="n">
        <v>0.0297</v>
      </c>
    </row>
    <row r="8">
      <c r="A8" t="inlineStr">
        <is>
          <t>Monthly Payment:</t>
        </is>
      </c>
      <c r="B8" s="26" t="n">
        <v>1862</v>
      </c>
    </row>
    <row r="9">
      <c r="A9" t="inlineStr">
        <is>
          <t>Origination Date:</t>
        </is>
      </c>
      <c r="B9" s="32" t="n">
        <v>44187</v>
      </c>
    </row>
    <row r="10">
      <c r="A10" t="inlineStr">
        <is>
          <t>Maturity Date:</t>
        </is>
      </c>
      <c r="B10" s="32" t="n">
        <v>46300</v>
      </c>
    </row>
    <row r="12">
      <c r="A12" s="8" t="inlineStr">
        <is>
          <t>AI ANALYSIS</t>
        </is>
      </c>
    </row>
    <row r="13">
      <c r="A13" t="inlineStr">
        <is>
          <t>Loan Type:</t>
        </is>
      </c>
      <c r="B13" s="9" t="inlineStr">
        <is>
          <t>AMORTIZING</t>
        </is>
      </c>
    </row>
    <row r="14">
      <c r="A14" t="inlineStr">
        <is>
          <t>Lender:</t>
        </is>
      </c>
      <c r="B14" s="9" t="inlineStr">
        <is>
          <t>Paccar Financial</t>
        </is>
      </c>
    </row>
    <row r="15">
      <c r="A15" t="inlineStr">
        <is>
          <t>Equipment Type:</t>
        </is>
      </c>
      <c r="B15" s="9" t="inlineStr">
        <is>
          <t>Semi Trucks (Kenworth/Peterbilt)</t>
        </is>
      </c>
    </row>
    <row r="16">
      <c r="A16" t="inlineStr">
        <is>
          <t>Original Balance:</t>
        </is>
      </c>
      <c r="B16" s="28" t="n">
        <v>2090725</v>
      </c>
    </row>
    <row r="17">
      <c r="A17" t="inlineStr">
        <is>
          <t>Months Remaining (from 1/1/26):</t>
        </is>
      </c>
      <c r="B17" s="9" t="n">
        <v>9</v>
      </c>
    </row>
    <row r="18">
      <c r="A18" t="inlineStr">
        <is>
          <t>Amortization Notes:</t>
        </is>
      </c>
      <c r="B18" s="9" t="inlineStr">
        <is>
          <t>Standard equipment financing with fixed monthly payments. Interest calculated on declining balance.</t>
        </is>
      </c>
    </row>
    <row r="19">
      <c r="A19" t="inlineStr">
        <is>
          <t>Source Document:</t>
        </is>
      </c>
      <c r="B19" s="9" t="inlineStr">
        <is>
          <t>Meiborg_Debt_Schedule_202512.xlsx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21" t="n">
        <v>1</v>
      </c>
      <c r="B23" s="33" t="n">
        <v>46023</v>
      </c>
      <c r="C23" s="13">
        <f>$B$6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21" t="n">
        <v>2</v>
      </c>
      <c r="B24" s="33" t="n">
        <v>46054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21" t="n">
        <v>3</v>
      </c>
      <c r="B25" s="33" t="n">
        <v>46082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21" t="n">
        <v>4</v>
      </c>
      <c r="B26" s="33" t="n">
        <v>46113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21" t="n">
        <v>5</v>
      </c>
      <c r="B27" s="33" t="n">
        <v>46143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21" t="n">
        <v>6</v>
      </c>
      <c r="B28" s="33" t="n">
        <v>46174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21" t="n">
        <v>7</v>
      </c>
      <c r="B29" s="33" t="n">
        <v>46204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21" t="n">
        <v>8</v>
      </c>
      <c r="B30" s="33" t="n">
        <v>46235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21" t="n">
        <v>9</v>
      </c>
      <c r="B31" s="33" t="n">
        <v>46266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21" t="n">
        <v>10</v>
      </c>
      <c r="B32" s="33" t="n">
        <v>46296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5">
      <c r="A35" s="2" t="inlineStr">
        <is>
          <t>ANNUAL SUMMARY</t>
        </is>
      </c>
    </row>
    <row r="36">
      <c r="A36" s="30" t="inlineStr">
        <is>
          <t>Year</t>
        </is>
      </c>
      <c r="B36" s="30" t="inlineStr"/>
      <c r="C36" s="30" t="inlineStr">
        <is>
          <t>Opening</t>
        </is>
      </c>
      <c r="D36" s="30" t="inlineStr">
        <is>
          <t>Interest</t>
        </is>
      </c>
      <c r="E36" s="30" t="inlineStr">
        <is>
          <t>Principal</t>
        </is>
      </c>
      <c r="F36" s="30" t="inlineStr">
        <is>
          <t>Closing</t>
        </is>
      </c>
    </row>
    <row r="37">
      <c r="A37" s="21" t="n">
        <v>2026</v>
      </c>
      <c r="C37" s="13">
        <f>C23</f>
        <v/>
      </c>
      <c r="D37" s="13">
        <f>SUM(D23:D32)</f>
        <v/>
      </c>
      <c r="E37" s="13">
        <f>SUM(E23:E32)</f>
        <v/>
      </c>
      <c r="F37" s="13">
        <f>F32</f>
        <v/>
      </c>
    </row>
    <row r="40">
      <c r="A40" s="1" t="inlineStr">
        <is>
          <t>CURRENT BALANCE (for DS link):</t>
        </is>
      </c>
      <c r="B40" s="31">
        <f>F32</f>
        <v/>
      </c>
    </row>
  </sheetData>
  <mergeCells count="4">
    <mergeCell ref="A1:F1"/>
    <mergeCell ref="A12:F12"/>
    <mergeCell ref="B18:F18"/>
    <mergeCell ref="A35:F35"/>
  </mergeCells>
  <pageMargins left="0.75" right="0.75" top="1" bottom="1" header="0.5" footer="0.5"/>
  <legacyDrawing xmlns:r="http://schemas.openxmlformats.org/officeDocument/2006/relationships" r:id="anysvml"/>
</worksheet>
</file>

<file path=xl/worksheets/sheet14.xml><?xml version="1.0" encoding="utf-8"?>
<worksheet xmlns="http://schemas.openxmlformats.org/spreadsheetml/2006/main">
  <sheetPr>
    <tabColor rgb="00808080"/>
    <outlinePr summaryBelow="1" summaryRight="1"/>
    <pageSetUpPr/>
  </sheetPr>
  <dimension ref="A1:F41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PACCAR FINANCIAL - LOAN #2</t>
        </is>
      </c>
    </row>
    <row r="2">
      <c r="A2" t="inlineStr">
        <is>
          <t>Description:</t>
        </is>
      </c>
      <c r="B2" s="4" t="inlineStr">
        <is>
          <t>Kenworth T880 Wrecker</t>
        </is>
      </c>
    </row>
    <row r="3">
      <c r="A3" t="inlineStr">
        <is>
          <t>Loan ID:</t>
        </is>
      </c>
      <c r="B3" t="inlineStr">
        <is>
          <t>05-2957-000-000-00</t>
        </is>
      </c>
    </row>
    <row r="4">
      <c r="A4" t="inlineStr">
        <is>
          <t>Loan Number:</t>
        </is>
      </c>
      <c r="B4" t="inlineStr">
        <is>
          <t>7194228</t>
        </is>
      </c>
    </row>
    <row r="5">
      <c r="A5" t="inlineStr">
        <is>
          <t>Collateral:</t>
        </is>
      </c>
      <c r="B5" t="inlineStr">
        <is>
          <t>Equipment - Semi Trucks</t>
        </is>
      </c>
    </row>
    <row r="6">
      <c r="A6" t="inlineStr">
        <is>
          <t>Opening Balance (12/31/25):</t>
        </is>
      </c>
      <c r="B6" s="26" t="n">
        <v>50994</v>
      </c>
    </row>
    <row r="7">
      <c r="A7" t="inlineStr">
        <is>
          <t>Annual Interest Rate:</t>
        </is>
      </c>
      <c r="B7" s="6" t="n">
        <v>0.0297</v>
      </c>
    </row>
    <row r="8">
      <c r="A8" t="inlineStr">
        <is>
          <t>Monthly Payment:</t>
        </is>
      </c>
      <c r="B8" s="26" t="n">
        <v>5238</v>
      </c>
    </row>
    <row r="9">
      <c r="A9" t="inlineStr">
        <is>
          <t>Origination Date:</t>
        </is>
      </c>
      <c r="B9" s="32" t="n">
        <v>43844</v>
      </c>
    </row>
    <row r="10">
      <c r="A10" t="inlineStr">
        <is>
          <t>Maturity Date:</t>
        </is>
      </c>
      <c r="B10" s="32" t="n">
        <v>46323</v>
      </c>
    </row>
    <row r="12">
      <c r="A12" s="8" t="inlineStr">
        <is>
          <t>AI ANALYSIS</t>
        </is>
      </c>
    </row>
    <row r="13">
      <c r="A13" t="inlineStr">
        <is>
          <t>Loan Type:</t>
        </is>
      </c>
      <c r="B13" s="9" t="inlineStr">
        <is>
          <t>AMORTIZING</t>
        </is>
      </c>
    </row>
    <row r="14">
      <c r="A14" t="inlineStr">
        <is>
          <t>Lender:</t>
        </is>
      </c>
      <c r="B14" s="9" t="inlineStr">
        <is>
          <t>Paccar Financial</t>
        </is>
      </c>
    </row>
    <row r="15">
      <c r="A15" t="inlineStr">
        <is>
          <t>Equipment Type:</t>
        </is>
      </c>
      <c r="B15" s="9" t="inlineStr">
        <is>
          <t>Semi Trucks (Kenworth/Peterbilt)</t>
        </is>
      </c>
    </row>
    <row r="16">
      <c r="A16" t="inlineStr">
        <is>
          <t>Original Balance:</t>
        </is>
      </c>
      <c r="B16" s="28" t="n">
        <v>314075</v>
      </c>
    </row>
    <row r="17">
      <c r="A17" t="inlineStr">
        <is>
          <t>Months Remaining (from 1/1/26):</t>
        </is>
      </c>
      <c r="B17" s="9" t="n">
        <v>9</v>
      </c>
    </row>
    <row r="18">
      <c r="A18" t="inlineStr">
        <is>
          <t>Amortization Notes:</t>
        </is>
      </c>
      <c r="B18" s="9" t="inlineStr">
        <is>
          <t>Standard equipment financing with fixed monthly payments. Interest calculated on declining balance.</t>
        </is>
      </c>
    </row>
    <row r="19">
      <c r="A19" t="inlineStr">
        <is>
          <t>Source Document:</t>
        </is>
      </c>
      <c r="B19" s="9" t="inlineStr">
        <is>
          <t>Meiborg_Debt_Schedule_202512.xlsx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21" t="n">
        <v>1</v>
      </c>
      <c r="B23" s="33" t="n">
        <v>46023</v>
      </c>
      <c r="C23" s="13">
        <f>$B$6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21" t="n">
        <v>2</v>
      </c>
      <c r="B24" s="33" t="n">
        <v>46054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21" t="n">
        <v>3</v>
      </c>
      <c r="B25" s="33" t="n">
        <v>46082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21" t="n">
        <v>4</v>
      </c>
      <c r="B26" s="33" t="n">
        <v>46113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21" t="n">
        <v>5</v>
      </c>
      <c r="B27" s="33" t="n">
        <v>46143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21" t="n">
        <v>6</v>
      </c>
      <c r="B28" s="33" t="n">
        <v>46174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21" t="n">
        <v>7</v>
      </c>
      <c r="B29" s="33" t="n">
        <v>46204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21" t="n">
        <v>8</v>
      </c>
      <c r="B30" s="33" t="n">
        <v>46235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21" t="n">
        <v>9</v>
      </c>
      <c r="B31" s="33" t="n">
        <v>46266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21" t="n">
        <v>10</v>
      </c>
      <c r="B32" s="33" t="n">
        <v>46296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21" t="n">
        <v>11</v>
      </c>
      <c r="B33" s="33" t="n">
        <v>46327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6">
      <c r="A36" s="2" t="inlineStr">
        <is>
          <t>ANNUAL SUMMARY</t>
        </is>
      </c>
    </row>
    <row r="37">
      <c r="A37" s="30" t="inlineStr">
        <is>
          <t>Year</t>
        </is>
      </c>
      <c r="B37" s="30" t="inlineStr"/>
      <c r="C37" s="30" t="inlineStr">
        <is>
          <t>Opening</t>
        </is>
      </c>
      <c r="D37" s="30" t="inlineStr">
        <is>
          <t>Interest</t>
        </is>
      </c>
      <c r="E37" s="30" t="inlineStr">
        <is>
          <t>Principal</t>
        </is>
      </c>
      <c r="F37" s="30" t="inlineStr">
        <is>
          <t>Closing</t>
        </is>
      </c>
    </row>
    <row r="38">
      <c r="A38" s="21" t="n">
        <v>2026</v>
      </c>
      <c r="C38" s="13">
        <f>C23</f>
        <v/>
      </c>
      <c r="D38" s="13">
        <f>SUM(D23:D33)</f>
        <v/>
      </c>
      <c r="E38" s="13">
        <f>SUM(E23:E33)</f>
        <v/>
      </c>
      <c r="F38" s="13">
        <f>F33</f>
        <v/>
      </c>
    </row>
    <row r="41">
      <c r="A41" s="1" t="inlineStr">
        <is>
          <t>CURRENT BALANCE (for DS link):</t>
        </is>
      </c>
      <c r="B41" s="31">
        <f>F33</f>
        <v/>
      </c>
    </row>
  </sheetData>
  <mergeCells count="4">
    <mergeCell ref="A36:F36"/>
    <mergeCell ref="A1:F1"/>
    <mergeCell ref="A12:F12"/>
    <mergeCell ref="B18:F18"/>
  </mergeCells>
  <pageMargins left="0.75" right="0.75" top="1" bottom="1" header="0.5" footer="0.5"/>
  <legacyDrawing xmlns:r="http://schemas.openxmlformats.org/officeDocument/2006/relationships" r:id="anysvml"/>
</worksheet>
</file>

<file path=xl/worksheets/sheet15.xml><?xml version="1.0" encoding="utf-8"?>
<worksheet xmlns="http://schemas.openxmlformats.org/spreadsheetml/2006/main">
  <sheetPr>
    <tabColor rgb="00808080"/>
    <outlinePr summaryBelow="1" summaryRight="1"/>
    <pageSetUpPr/>
  </sheetPr>
  <dimension ref="A1:F49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PACCAR FINANCIAL - LOAN #3</t>
        </is>
      </c>
    </row>
    <row r="2">
      <c r="A2" t="inlineStr">
        <is>
          <t>Description:</t>
        </is>
      </c>
      <c r="B2" s="4" t="inlineStr">
        <is>
          <t>4 T880 Day Cabs</t>
        </is>
      </c>
    </row>
    <row r="3">
      <c r="A3" t="inlineStr">
        <is>
          <t>Loan ID:</t>
        </is>
      </c>
      <c r="B3" t="inlineStr">
        <is>
          <t>05-2958-000-000-00</t>
        </is>
      </c>
    </row>
    <row r="4">
      <c r="A4" t="inlineStr">
        <is>
          <t>Loan Number:</t>
        </is>
      </c>
      <c r="B4" t="inlineStr">
        <is>
          <t>7263759</t>
        </is>
      </c>
    </row>
    <row r="5">
      <c r="A5" t="inlineStr">
        <is>
          <t>Collateral:</t>
        </is>
      </c>
      <c r="B5" t="inlineStr">
        <is>
          <t>Equipment - Semi Trucks</t>
        </is>
      </c>
    </row>
    <row r="6">
      <c r="A6" t="inlineStr">
        <is>
          <t>Opening Balance (12/31/25):</t>
        </is>
      </c>
      <c r="B6" s="26" t="n">
        <v>73516</v>
      </c>
    </row>
    <row r="7">
      <c r="A7" t="inlineStr">
        <is>
          <t>Annual Interest Rate:</t>
        </is>
      </c>
      <c r="B7" s="6" t="n">
        <v>0.0275</v>
      </c>
    </row>
    <row r="8">
      <c r="A8" t="inlineStr">
        <is>
          <t>Monthly Payment:</t>
        </is>
      </c>
      <c r="B8" s="26" t="n">
        <v>4454</v>
      </c>
    </row>
    <row r="9">
      <c r="A9" t="inlineStr">
        <is>
          <t>Origination Date:</t>
        </is>
      </c>
      <c r="B9" s="32" t="n">
        <v>44399</v>
      </c>
    </row>
    <row r="10">
      <c r="A10" t="inlineStr">
        <is>
          <t>Maturity Date:</t>
        </is>
      </c>
      <c r="B10" s="32" t="n">
        <v>46423</v>
      </c>
    </row>
    <row r="12">
      <c r="A12" s="8" t="inlineStr">
        <is>
          <t>AI ANALYSIS</t>
        </is>
      </c>
    </row>
    <row r="13">
      <c r="A13" t="inlineStr">
        <is>
          <t>Loan Type:</t>
        </is>
      </c>
      <c r="B13" s="9" t="inlineStr">
        <is>
          <t>AMORTIZING</t>
        </is>
      </c>
    </row>
    <row r="14">
      <c r="A14" t="inlineStr">
        <is>
          <t>Lender:</t>
        </is>
      </c>
      <c r="B14" s="9" t="inlineStr">
        <is>
          <t>Paccar Financial</t>
        </is>
      </c>
    </row>
    <row r="15">
      <c r="A15" t="inlineStr">
        <is>
          <t>Equipment Type:</t>
        </is>
      </c>
      <c r="B15" s="9" t="inlineStr">
        <is>
          <t>Semi Trucks (Kenworth/Peterbilt)</t>
        </is>
      </c>
    </row>
    <row r="16">
      <c r="A16" t="inlineStr">
        <is>
          <t>Original Balance:</t>
        </is>
      </c>
      <c r="B16" s="28" t="n">
        <v>537800</v>
      </c>
    </row>
    <row r="17">
      <c r="A17" t="inlineStr">
        <is>
          <t>Months Remaining (from 1/1/26):</t>
        </is>
      </c>
      <c r="B17" s="9" t="n">
        <v>13</v>
      </c>
    </row>
    <row r="18">
      <c r="A18" t="inlineStr">
        <is>
          <t>Amortization Notes:</t>
        </is>
      </c>
      <c r="B18" s="9" t="inlineStr">
        <is>
          <t>Standard equipment financing with fixed monthly payments. Interest calculated on declining balance.</t>
        </is>
      </c>
    </row>
    <row r="19">
      <c r="A19" t="inlineStr">
        <is>
          <t>Source Document:</t>
        </is>
      </c>
      <c r="B19" s="9" t="inlineStr">
        <is>
          <t>Meiborg_Debt_Schedule_202512.xlsx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21" t="n">
        <v>1</v>
      </c>
      <c r="B23" s="33" t="n">
        <v>46023</v>
      </c>
      <c r="C23" s="13">
        <f>$B$6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21" t="n">
        <v>2</v>
      </c>
      <c r="B24" s="33" t="n">
        <v>46054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21" t="n">
        <v>3</v>
      </c>
      <c r="B25" s="33" t="n">
        <v>46082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21" t="n">
        <v>4</v>
      </c>
      <c r="B26" s="33" t="n">
        <v>46113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21" t="n">
        <v>5</v>
      </c>
      <c r="B27" s="33" t="n">
        <v>46143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21" t="n">
        <v>6</v>
      </c>
      <c r="B28" s="33" t="n">
        <v>46174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21" t="n">
        <v>7</v>
      </c>
      <c r="B29" s="33" t="n">
        <v>46204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21" t="n">
        <v>8</v>
      </c>
      <c r="B30" s="33" t="n">
        <v>46235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21" t="n">
        <v>9</v>
      </c>
      <c r="B31" s="33" t="n">
        <v>46266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21" t="n">
        <v>10</v>
      </c>
      <c r="B32" s="33" t="n">
        <v>46296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21" t="n">
        <v>11</v>
      </c>
      <c r="B33" s="33" t="n">
        <v>46327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4">
      <c r="A34" s="21" t="n">
        <v>12</v>
      </c>
      <c r="B34" s="33" t="n">
        <v>46357</v>
      </c>
      <c r="C34" s="13">
        <f>F33</f>
        <v/>
      </c>
      <c r="D34" s="13">
        <f>MAX(0,C34*$B$7/12)</f>
        <v/>
      </c>
      <c r="E34" s="13">
        <f>MAX(0,MIN(C34,$B$8-D34))</f>
        <v/>
      </c>
      <c r="F34" s="13">
        <f>MAX(0,C34-E34)</f>
        <v/>
      </c>
    </row>
    <row r="35">
      <c r="A35" s="21" t="n">
        <v>13</v>
      </c>
      <c r="B35" s="33" t="n">
        <v>46388</v>
      </c>
      <c r="C35" s="13">
        <f>F34</f>
        <v/>
      </c>
      <c r="D35" s="13">
        <f>MAX(0,C35*$B$7/12)</f>
        <v/>
      </c>
      <c r="E35" s="13">
        <f>MAX(0,MIN(C35,$B$8-D35))</f>
        <v/>
      </c>
      <c r="F35" s="13">
        <f>MAX(0,C35-E35)</f>
        <v/>
      </c>
    </row>
    <row r="36">
      <c r="A36" s="21" t="n">
        <v>14</v>
      </c>
      <c r="B36" s="33" t="n">
        <v>46419</v>
      </c>
      <c r="C36" s="13">
        <f>F35</f>
        <v/>
      </c>
      <c r="D36" s="13">
        <f>MAX(0,C36*$B$7/12)</f>
        <v/>
      </c>
      <c r="E36" s="13">
        <f>MAX(0,MIN(C36,$B$8-D36))</f>
        <v/>
      </c>
      <c r="F36" s="13">
        <f>MAX(0,C36-E36)</f>
        <v/>
      </c>
    </row>
    <row r="37">
      <c r="A37" s="21" t="n">
        <v>15</v>
      </c>
      <c r="B37" s="33" t="n">
        <v>46447</v>
      </c>
      <c r="C37" s="13">
        <f>F36</f>
        <v/>
      </c>
      <c r="D37" s="13">
        <f>MAX(0,C37*$B$7/12)</f>
        <v/>
      </c>
      <c r="E37" s="13">
        <f>MAX(0,MIN(C37,$B$8-D37))</f>
        <v/>
      </c>
      <c r="F37" s="13">
        <f>MAX(0,C37-E37)</f>
        <v/>
      </c>
    </row>
    <row r="38">
      <c r="A38" s="21" t="n">
        <v>16</v>
      </c>
      <c r="B38" s="33" t="n">
        <v>46478</v>
      </c>
      <c r="C38" s="13">
        <f>F37</f>
        <v/>
      </c>
      <c r="D38" s="13">
        <f>MAX(0,C38*$B$7/12)</f>
        <v/>
      </c>
      <c r="E38" s="13">
        <f>MAX(0,MIN(C38,$B$8-D38))</f>
        <v/>
      </c>
      <c r="F38" s="13">
        <f>MAX(0,C38-E38)</f>
        <v/>
      </c>
    </row>
    <row r="39">
      <c r="A39" s="21" t="n">
        <v>17</v>
      </c>
      <c r="B39" s="33" t="n">
        <v>46508</v>
      </c>
      <c r="C39" s="13">
        <f>F38</f>
        <v/>
      </c>
      <c r="D39" s="13">
        <f>MAX(0,C39*$B$7/12)</f>
        <v/>
      </c>
      <c r="E39" s="13">
        <f>MAX(0,MIN(C39,$B$8-D39))</f>
        <v/>
      </c>
      <c r="F39" s="13">
        <f>MAX(0,C39-E39)</f>
        <v/>
      </c>
    </row>
    <row r="40">
      <c r="A40" s="21" t="n">
        <v>18</v>
      </c>
      <c r="B40" s="33" t="n">
        <v>46539</v>
      </c>
      <c r="C40" s="13">
        <f>F39</f>
        <v/>
      </c>
      <c r="D40" s="13">
        <f>MAX(0,C40*$B$7/12)</f>
        <v/>
      </c>
      <c r="E40" s="13">
        <f>MAX(0,MIN(C40,$B$8-D40))</f>
        <v/>
      </c>
      <c r="F40" s="13">
        <f>MAX(0,C40-E40)</f>
        <v/>
      </c>
    </row>
    <row r="43">
      <c r="A43" s="2" t="inlineStr">
        <is>
          <t>ANNUAL SUMMARY</t>
        </is>
      </c>
    </row>
    <row r="44">
      <c r="A44" s="30" t="inlineStr">
        <is>
          <t>Year</t>
        </is>
      </c>
      <c r="B44" s="30" t="inlineStr"/>
      <c r="C44" s="30" t="inlineStr">
        <is>
          <t>Opening</t>
        </is>
      </c>
      <c r="D44" s="30" t="inlineStr">
        <is>
          <t>Interest</t>
        </is>
      </c>
      <c r="E44" s="30" t="inlineStr">
        <is>
          <t>Principal</t>
        </is>
      </c>
      <c r="F44" s="30" t="inlineStr">
        <is>
          <t>Closing</t>
        </is>
      </c>
    </row>
    <row r="45">
      <c r="A45" s="21" t="n">
        <v>2026</v>
      </c>
      <c r="C45" s="13">
        <f>C23</f>
        <v/>
      </c>
      <c r="D45" s="13">
        <f>SUM(D23:D34)</f>
        <v/>
      </c>
      <c r="E45" s="13">
        <f>SUM(E23:E34)</f>
        <v/>
      </c>
      <c r="F45" s="13">
        <f>F34</f>
        <v/>
      </c>
    </row>
    <row r="46">
      <c r="A46" s="21" t="n">
        <v>2027</v>
      </c>
      <c r="C46" s="13">
        <f>C35</f>
        <v/>
      </c>
      <c r="D46" s="13">
        <f>SUM(D35:D40)</f>
        <v/>
      </c>
      <c r="E46" s="13">
        <f>SUM(E35:E40)</f>
        <v/>
      </c>
      <c r="F46" s="13">
        <f>F40</f>
        <v/>
      </c>
    </row>
    <row r="49">
      <c r="A49" s="1" t="inlineStr">
        <is>
          <t>CURRENT BALANCE (for DS link):</t>
        </is>
      </c>
      <c r="B49" s="31">
        <f>F34</f>
        <v/>
      </c>
    </row>
  </sheetData>
  <mergeCells count="4">
    <mergeCell ref="A1:F1"/>
    <mergeCell ref="A12:F12"/>
    <mergeCell ref="B18:F18"/>
    <mergeCell ref="A43:F43"/>
  </mergeCells>
  <pageMargins left="0.75" right="0.75" top="1" bottom="1" header="0.5" footer="0.5"/>
  <legacyDrawing xmlns:r="http://schemas.openxmlformats.org/officeDocument/2006/relationships" r:id="anysvml"/>
</worksheet>
</file>

<file path=xl/worksheets/sheet16.xml><?xml version="1.0" encoding="utf-8"?>
<worksheet xmlns="http://schemas.openxmlformats.org/spreadsheetml/2006/main">
  <sheetPr>
    <tabColor rgb="00808080"/>
    <outlinePr summaryBelow="1" summaryRight="1"/>
    <pageSetUpPr/>
  </sheetPr>
  <dimension ref="A1:F50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PACCAR FINANCIAL - LOAN #4</t>
        </is>
      </c>
    </row>
    <row r="2">
      <c r="A2" t="inlineStr">
        <is>
          <t>Description:</t>
        </is>
      </c>
      <c r="B2" s="4" t="inlineStr">
        <is>
          <t>1 T880 &amp; 1 T680</t>
        </is>
      </c>
    </row>
    <row r="3">
      <c r="A3" t="inlineStr">
        <is>
          <t>Loan ID:</t>
        </is>
      </c>
      <c r="B3" t="inlineStr">
        <is>
          <t>05-2959-001-000-00</t>
        </is>
      </c>
    </row>
    <row r="4">
      <c r="A4" t="inlineStr">
        <is>
          <t>Loan Number:</t>
        </is>
      </c>
      <c r="B4" t="inlineStr">
        <is>
          <t>7273063</t>
        </is>
      </c>
    </row>
    <row r="5">
      <c r="A5" t="inlineStr">
        <is>
          <t>Collateral:</t>
        </is>
      </c>
      <c r="B5" t="inlineStr">
        <is>
          <t>Equipment - Semi Trucks</t>
        </is>
      </c>
    </row>
    <row r="6">
      <c r="A6" t="inlineStr">
        <is>
          <t>Opening Balance (12/31/25):</t>
        </is>
      </c>
      <c r="B6" s="26" t="n">
        <v>79949</v>
      </c>
    </row>
    <row r="7">
      <c r="A7" t="inlineStr">
        <is>
          <t>Annual Interest Rate:</t>
        </is>
      </c>
      <c r="B7" s="6" t="n">
        <v>0.0276</v>
      </c>
    </row>
    <row r="8">
      <c r="A8" t="inlineStr">
        <is>
          <t>Monthly Payment:</t>
        </is>
      </c>
      <c r="B8" s="26" t="n">
        <v>4577</v>
      </c>
    </row>
    <row r="9">
      <c r="A9" t="inlineStr">
        <is>
          <t>Origination Date:</t>
        </is>
      </c>
      <c r="B9" s="32" t="n">
        <v>44425</v>
      </c>
    </row>
    <row r="10">
      <c r="A10" t="inlineStr">
        <is>
          <t>Maturity Date:</t>
        </is>
      </c>
      <c r="B10" s="32" t="n">
        <v>46539</v>
      </c>
    </row>
    <row r="12">
      <c r="A12" s="8" t="inlineStr">
        <is>
          <t>AI ANALYSIS</t>
        </is>
      </c>
    </row>
    <row r="13">
      <c r="A13" t="inlineStr">
        <is>
          <t>Loan Type:</t>
        </is>
      </c>
      <c r="B13" s="9" t="inlineStr">
        <is>
          <t>AMORTIZING</t>
        </is>
      </c>
    </row>
    <row r="14">
      <c r="A14" t="inlineStr">
        <is>
          <t>Lender:</t>
        </is>
      </c>
      <c r="B14" s="9" t="inlineStr">
        <is>
          <t>Paccar Financial</t>
        </is>
      </c>
    </row>
    <row r="15">
      <c r="A15" t="inlineStr">
        <is>
          <t>Equipment Type:</t>
        </is>
      </c>
      <c r="B15" s="9" t="inlineStr">
        <is>
          <t>Semi Trucks (Kenworth/Peterbilt)</t>
        </is>
      </c>
    </row>
    <row r="16">
      <c r="A16" t="inlineStr">
        <is>
          <t>Original Balance:</t>
        </is>
      </c>
      <c r="B16" s="28" t="n">
        <v>276325</v>
      </c>
    </row>
    <row r="17">
      <c r="A17" t="inlineStr">
        <is>
          <t>Months Remaining (from 1/1/26):</t>
        </is>
      </c>
      <c r="B17" s="9" t="n">
        <v>17</v>
      </c>
    </row>
    <row r="18">
      <c r="A18" t="inlineStr">
        <is>
          <t>Amortization Notes:</t>
        </is>
      </c>
      <c r="B18" s="9" t="inlineStr">
        <is>
          <t>Standard equipment financing with fixed monthly payments. Interest calculated on declining balance.</t>
        </is>
      </c>
    </row>
    <row r="19">
      <c r="A19" t="inlineStr">
        <is>
          <t>Source Document:</t>
        </is>
      </c>
      <c r="B19" s="9" t="inlineStr">
        <is>
          <t>Meiborg_Debt_Schedule_202512.xlsx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21" t="n">
        <v>1</v>
      </c>
      <c r="B23" s="33" t="n">
        <v>46023</v>
      </c>
      <c r="C23" s="13">
        <f>$B$6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21" t="n">
        <v>2</v>
      </c>
      <c r="B24" s="33" t="n">
        <v>46054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21" t="n">
        <v>3</v>
      </c>
      <c r="B25" s="33" t="n">
        <v>46082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21" t="n">
        <v>4</v>
      </c>
      <c r="B26" s="33" t="n">
        <v>46113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21" t="n">
        <v>5</v>
      </c>
      <c r="B27" s="33" t="n">
        <v>46143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21" t="n">
        <v>6</v>
      </c>
      <c r="B28" s="33" t="n">
        <v>46174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21" t="n">
        <v>7</v>
      </c>
      <c r="B29" s="33" t="n">
        <v>46204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21" t="n">
        <v>8</v>
      </c>
      <c r="B30" s="33" t="n">
        <v>46235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21" t="n">
        <v>9</v>
      </c>
      <c r="B31" s="33" t="n">
        <v>46266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21" t="n">
        <v>10</v>
      </c>
      <c r="B32" s="33" t="n">
        <v>46296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21" t="n">
        <v>11</v>
      </c>
      <c r="B33" s="33" t="n">
        <v>46327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4">
      <c r="A34" s="21" t="n">
        <v>12</v>
      </c>
      <c r="B34" s="33" t="n">
        <v>46357</v>
      </c>
      <c r="C34" s="13">
        <f>F33</f>
        <v/>
      </c>
      <c r="D34" s="13">
        <f>MAX(0,C34*$B$7/12)</f>
        <v/>
      </c>
      <c r="E34" s="13">
        <f>MAX(0,MIN(C34,$B$8-D34))</f>
        <v/>
      </c>
      <c r="F34" s="13">
        <f>MAX(0,C34-E34)</f>
        <v/>
      </c>
    </row>
    <row r="35">
      <c r="A35" s="21" t="n">
        <v>13</v>
      </c>
      <c r="B35" s="33" t="n">
        <v>46388</v>
      </c>
      <c r="C35" s="13">
        <f>F34</f>
        <v/>
      </c>
      <c r="D35" s="13">
        <f>MAX(0,C35*$B$7/12)</f>
        <v/>
      </c>
      <c r="E35" s="13">
        <f>MAX(0,MIN(C35,$B$8-D35))</f>
        <v/>
      </c>
      <c r="F35" s="13">
        <f>MAX(0,C35-E35)</f>
        <v/>
      </c>
    </row>
    <row r="36">
      <c r="A36" s="21" t="n">
        <v>14</v>
      </c>
      <c r="B36" s="33" t="n">
        <v>46419</v>
      </c>
      <c r="C36" s="13">
        <f>F35</f>
        <v/>
      </c>
      <c r="D36" s="13">
        <f>MAX(0,C36*$B$7/12)</f>
        <v/>
      </c>
      <c r="E36" s="13">
        <f>MAX(0,MIN(C36,$B$8-D36))</f>
        <v/>
      </c>
      <c r="F36" s="13">
        <f>MAX(0,C36-E36)</f>
        <v/>
      </c>
    </row>
    <row r="37">
      <c r="A37" s="21" t="n">
        <v>15</v>
      </c>
      <c r="B37" s="33" t="n">
        <v>46447</v>
      </c>
      <c r="C37" s="13">
        <f>F36</f>
        <v/>
      </c>
      <c r="D37" s="13">
        <f>MAX(0,C37*$B$7/12)</f>
        <v/>
      </c>
      <c r="E37" s="13">
        <f>MAX(0,MIN(C37,$B$8-D37))</f>
        <v/>
      </c>
      <c r="F37" s="13">
        <f>MAX(0,C37-E37)</f>
        <v/>
      </c>
    </row>
    <row r="38">
      <c r="A38" s="21" t="n">
        <v>16</v>
      </c>
      <c r="B38" s="33" t="n">
        <v>46478</v>
      </c>
      <c r="C38" s="13">
        <f>F37</f>
        <v/>
      </c>
      <c r="D38" s="13">
        <f>MAX(0,C38*$B$7/12)</f>
        <v/>
      </c>
      <c r="E38" s="13">
        <f>MAX(0,MIN(C38,$B$8-D38))</f>
        <v/>
      </c>
      <c r="F38" s="13">
        <f>MAX(0,C38-E38)</f>
        <v/>
      </c>
    </row>
    <row r="39">
      <c r="A39" s="21" t="n">
        <v>17</v>
      </c>
      <c r="B39" s="33" t="n">
        <v>46508</v>
      </c>
      <c r="C39" s="13">
        <f>F38</f>
        <v/>
      </c>
      <c r="D39" s="13">
        <f>MAX(0,C39*$B$7/12)</f>
        <v/>
      </c>
      <c r="E39" s="13">
        <f>MAX(0,MIN(C39,$B$8-D39))</f>
        <v/>
      </c>
      <c r="F39" s="13">
        <f>MAX(0,C39-E39)</f>
        <v/>
      </c>
    </row>
    <row r="40">
      <c r="A40" s="21" t="n">
        <v>18</v>
      </c>
      <c r="B40" s="33" t="n">
        <v>46539</v>
      </c>
      <c r="C40" s="13">
        <f>F39</f>
        <v/>
      </c>
      <c r="D40" s="13">
        <f>MAX(0,C40*$B$7/12)</f>
        <v/>
      </c>
      <c r="E40" s="13">
        <f>MAX(0,MIN(C40,$B$8-D40))</f>
        <v/>
      </c>
      <c r="F40" s="13">
        <f>MAX(0,C40-E40)</f>
        <v/>
      </c>
    </row>
    <row r="41">
      <c r="A41" s="21" t="n">
        <v>19</v>
      </c>
      <c r="B41" s="33" t="n">
        <v>46569</v>
      </c>
      <c r="C41" s="13">
        <f>F40</f>
        <v/>
      </c>
      <c r="D41" s="13">
        <f>MAX(0,C41*$B$7/12)</f>
        <v/>
      </c>
      <c r="E41" s="13">
        <f>MAX(0,MIN(C41,$B$8-D41))</f>
        <v/>
      </c>
      <c r="F41" s="13">
        <f>MAX(0,C41-E41)</f>
        <v/>
      </c>
    </row>
    <row r="44">
      <c r="A44" s="2" t="inlineStr">
        <is>
          <t>ANNUAL SUMMARY</t>
        </is>
      </c>
    </row>
    <row r="45">
      <c r="A45" s="30" t="inlineStr">
        <is>
          <t>Year</t>
        </is>
      </c>
      <c r="B45" s="30" t="inlineStr"/>
      <c r="C45" s="30" t="inlineStr">
        <is>
          <t>Opening</t>
        </is>
      </c>
      <c r="D45" s="30" t="inlineStr">
        <is>
          <t>Interest</t>
        </is>
      </c>
      <c r="E45" s="30" t="inlineStr">
        <is>
          <t>Principal</t>
        </is>
      </c>
      <c r="F45" s="30" t="inlineStr">
        <is>
          <t>Closing</t>
        </is>
      </c>
    </row>
    <row r="46">
      <c r="A46" s="21" t="n">
        <v>2026</v>
      </c>
      <c r="C46" s="13">
        <f>C23</f>
        <v/>
      </c>
      <c r="D46" s="13">
        <f>SUM(D23:D34)</f>
        <v/>
      </c>
      <c r="E46" s="13">
        <f>SUM(E23:E34)</f>
        <v/>
      </c>
      <c r="F46" s="13">
        <f>F34</f>
        <v/>
      </c>
    </row>
    <row r="47">
      <c r="A47" s="21" t="n">
        <v>2027</v>
      </c>
      <c r="C47" s="13">
        <f>C35</f>
        <v/>
      </c>
      <c r="D47" s="13">
        <f>SUM(D35:D41)</f>
        <v/>
      </c>
      <c r="E47" s="13">
        <f>SUM(E35:E41)</f>
        <v/>
      </c>
      <c r="F47" s="13">
        <f>F41</f>
        <v/>
      </c>
    </row>
    <row r="50">
      <c r="A50" s="1" t="inlineStr">
        <is>
          <t>CURRENT BALANCE (for DS link):</t>
        </is>
      </c>
      <c r="B50" s="31">
        <f>F34</f>
        <v/>
      </c>
    </row>
  </sheetData>
  <mergeCells count="4">
    <mergeCell ref="A44:F44"/>
    <mergeCell ref="A1:F1"/>
    <mergeCell ref="A12:F12"/>
    <mergeCell ref="B18:F18"/>
  </mergeCells>
  <pageMargins left="0.75" right="0.75" top="1" bottom="1" header="0.5" footer="0.5"/>
  <legacyDrawing xmlns:r="http://schemas.openxmlformats.org/officeDocument/2006/relationships" r:id="anysvml"/>
</worksheet>
</file>

<file path=xl/worksheets/sheet17.xml><?xml version="1.0" encoding="utf-8"?>
<worksheet xmlns="http://schemas.openxmlformats.org/spreadsheetml/2006/main">
  <sheetPr>
    <tabColor rgb="00808080"/>
    <outlinePr summaryBelow="1" summaryRight="1"/>
    <pageSetUpPr/>
  </sheetPr>
  <dimension ref="A1:F51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PACCAR FINANCIAL - LOAN #5</t>
        </is>
      </c>
    </row>
    <row r="2">
      <c r="A2" t="inlineStr">
        <is>
          <t>Description:</t>
        </is>
      </c>
      <c r="B2" s="4" t="inlineStr">
        <is>
          <t>1 T680</t>
        </is>
      </c>
    </row>
    <row r="3">
      <c r="A3" t="inlineStr">
        <is>
          <t>Loan ID:</t>
        </is>
      </c>
      <c r="B3" t="inlineStr">
        <is>
          <t>05-2959-002-000-00</t>
        </is>
      </c>
    </row>
    <row r="4">
      <c r="A4" t="inlineStr">
        <is>
          <t>Loan Number:</t>
        </is>
      </c>
      <c r="B4" t="inlineStr">
        <is>
          <t>7283609</t>
        </is>
      </c>
    </row>
    <row r="5">
      <c r="A5" t="inlineStr">
        <is>
          <t>Collateral:</t>
        </is>
      </c>
      <c r="B5" t="inlineStr">
        <is>
          <t>Equipment - Semi Trucks</t>
        </is>
      </c>
    </row>
    <row r="6">
      <c r="A6" t="inlineStr">
        <is>
          <t>Opening Balance (12/31/25):</t>
        </is>
      </c>
      <c r="B6" s="26" t="n">
        <v>42708</v>
      </c>
    </row>
    <row r="7">
      <c r="A7" t="inlineStr">
        <is>
          <t>Annual Interest Rate:</t>
        </is>
      </c>
      <c r="B7" s="6" t="n">
        <v>0.0283</v>
      </c>
    </row>
    <row r="8">
      <c r="A8" t="inlineStr">
        <is>
          <t>Monthly Payment:</t>
        </is>
      </c>
      <c r="B8" s="26" t="n">
        <v>2363</v>
      </c>
    </row>
    <row r="9">
      <c r="A9" t="inlineStr">
        <is>
          <t>Origination Date:</t>
        </is>
      </c>
      <c r="B9" s="32" t="n">
        <v>44468</v>
      </c>
    </row>
    <row r="10">
      <c r="A10" t="inlineStr">
        <is>
          <t>Maturity Date:</t>
        </is>
      </c>
      <c r="B10" s="32" t="n">
        <v>46580</v>
      </c>
    </row>
    <row r="12">
      <c r="A12" s="8" t="inlineStr">
        <is>
          <t>AI ANALYSIS</t>
        </is>
      </c>
    </row>
    <row r="13">
      <c r="A13" t="inlineStr">
        <is>
          <t>Loan Type:</t>
        </is>
      </c>
      <c r="B13" s="9" t="inlineStr">
        <is>
          <t>AMORTIZING</t>
        </is>
      </c>
    </row>
    <row r="14">
      <c r="A14" t="inlineStr">
        <is>
          <t>Lender:</t>
        </is>
      </c>
      <c r="B14" s="9" t="inlineStr">
        <is>
          <t>Paccar Financial</t>
        </is>
      </c>
    </row>
    <row r="15">
      <c r="A15" t="inlineStr">
        <is>
          <t>Equipment Type:</t>
        </is>
      </c>
      <c r="B15" s="9" t="inlineStr">
        <is>
          <t>Semi Trucks (Kenworth/Peterbilt)</t>
        </is>
      </c>
    </row>
    <row r="16">
      <c r="A16" t="inlineStr">
        <is>
          <t>Original Balance:</t>
        </is>
      </c>
      <c r="B16" s="28" t="n">
        <v>141875</v>
      </c>
    </row>
    <row r="17">
      <c r="A17" t="inlineStr">
        <is>
          <t>Months Remaining (from 1/1/26):</t>
        </is>
      </c>
      <c r="B17" s="9" t="n">
        <v>18</v>
      </c>
    </row>
    <row r="18">
      <c r="A18" t="inlineStr">
        <is>
          <t>Amortization Notes:</t>
        </is>
      </c>
      <c r="B18" s="9" t="inlineStr">
        <is>
          <t>Standard equipment financing with fixed monthly payments. Interest calculated on declining balance.</t>
        </is>
      </c>
    </row>
    <row r="19">
      <c r="A19" t="inlineStr">
        <is>
          <t>Source Document:</t>
        </is>
      </c>
      <c r="B19" s="9" t="inlineStr">
        <is>
          <t>Meiborg_Debt_Schedule_202512.xlsx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21" t="n">
        <v>1</v>
      </c>
      <c r="B23" s="33" t="n">
        <v>46023</v>
      </c>
      <c r="C23" s="13">
        <f>$B$6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21" t="n">
        <v>2</v>
      </c>
      <c r="B24" s="33" t="n">
        <v>46054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21" t="n">
        <v>3</v>
      </c>
      <c r="B25" s="33" t="n">
        <v>46082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21" t="n">
        <v>4</v>
      </c>
      <c r="B26" s="33" t="n">
        <v>46113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21" t="n">
        <v>5</v>
      </c>
      <c r="B27" s="33" t="n">
        <v>46143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21" t="n">
        <v>6</v>
      </c>
      <c r="B28" s="33" t="n">
        <v>46174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21" t="n">
        <v>7</v>
      </c>
      <c r="B29" s="33" t="n">
        <v>46204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21" t="n">
        <v>8</v>
      </c>
      <c r="B30" s="33" t="n">
        <v>46235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21" t="n">
        <v>9</v>
      </c>
      <c r="B31" s="33" t="n">
        <v>46266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21" t="n">
        <v>10</v>
      </c>
      <c r="B32" s="33" t="n">
        <v>46296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21" t="n">
        <v>11</v>
      </c>
      <c r="B33" s="33" t="n">
        <v>46327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4">
      <c r="A34" s="21" t="n">
        <v>12</v>
      </c>
      <c r="B34" s="33" t="n">
        <v>46357</v>
      </c>
      <c r="C34" s="13">
        <f>F33</f>
        <v/>
      </c>
      <c r="D34" s="13">
        <f>MAX(0,C34*$B$7/12)</f>
        <v/>
      </c>
      <c r="E34" s="13">
        <f>MAX(0,MIN(C34,$B$8-D34))</f>
        <v/>
      </c>
      <c r="F34" s="13">
        <f>MAX(0,C34-E34)</f>
        <v/>
      </c>
    </row>
    <row r="35">
      <c r="A35" s="21" t="n">
        <v>13</v>
      </c>
      <c r="B35" s="33" t="n">
        <v>46388</v>
      </c>
      <c r="C35" s="13">
        <f>F34</f>
        <v/>
      </c>
      <c r="D35" s="13">
        <f>MAX(0,C35*$B$7/12)</f>
        <v/>
      </c>
      <c r="E35" s="13">
        <f>MAX(0,MIN(C35,$B$8-D35))</f>
        <v/>
      </c>
      <c r="F35" s="13">
        <f>MAX(0,C35-E35)</f>
        <v/>
      </c>
    </row>
    <row r="36">
      <c r="A36" s="21" t="n">
        <v>14</v>
      </c>
      <c r="B36" s="33" t="n">
        <v>46419</v>
      </c>
      <c r="C36" s="13">
        <f>F35</f>
        <v/>
      </c>
      <c r="D36" s="13">
        <f>MAX(0,C36*$B$7/12)</f>
        <v/>
      </c>
      <c r="E36" s="13">
        <f>MAX(0,MIN(C36,$B$8-D36))</f>
        <v/>
      </c>
      <c r="F36" s="13">
        <f>MAX(0,C36-E36)</f>
        <v/>
      </c>
    </row>
    <row r="37">
      <c r="A37" s="21" t="n">
        <v>15</v>
      </c>
      <c r="B37" s="33" t="n">
        <v>46447</v>
      </c>
      <c r="C37" s="13">
        <f>F36</f>
        <v/>
      </c>
      <c r="D37" s="13">
        <f>MAX(0,C37*$B$7/12)</f>
        <v/>
      </c>
      <c r="E37" s="13">
        <f>MAX(0,MIN(C37,$B$8-D37))</f>
        <v/>
      </c>
      <c r="F37" s="13">
        <f>MAX(0,C37-E37)</f>
        <v/>
      </c>
    </row>
    <row r="38">
      <c r="A38" s="21" t="n">
        <v>16</v>
      </c>
      <c r="B38" s="33" t="n">
        <v>46478</v>
      </c>
      <c r="C38" s="13">
        <f>F37</f>
        <v/>
      </c>
      <c r="D38" s="13">
        <f>MAX(0,C38*$B$7/12)</f>
        <v/>
      </c>
      <c r="E38" s="13">
        <f>MAX(0,MIN(C38,$B$8-D38))</f>
        <v/>
      </c>
      <c r="F38" s="13">
        <f>MAX(0,C38-E38)</f>
        <v/>
      </c>
    </row>
    <row r="39">
      <c r="A39" s="21" t="n">
        <v>17</v>
      </c>
      <c r="B39" s="33" t="n">
        <v>46508</v>
      </c>
      <c r="C39" s="13">
        <f>F38</f>
        <v/>
      </c>
      <c r="D39" s="13">
        <f>MAX(0,C39*$B$7/12)</f>
        <v/>
      </c>
      <c r="E39" s="13">
        <f>MAX(0,MIN(C39,$B$8-D39))</f>
        <v/>
      </c>
      <c r="F39" s="13">
        <f>MAX(0,C39-E39)</f>
        <v/>
      </c>
    </row>
    <row r="40">
      <c r="A40" s="21" t="n">
        <v>18</v>
      </c>
      <c r="B40" s="33" t="n">
        <v>46539</v>
      </c>
      <c r="C40" s="13">
        <f>F39</f>
        <v/>
      </c>
      <c r="D40" s="13">
        <f>MAX(0,C40*$B$7/12)</f>
        <v/>
      </c>
      <c r="E40" s="13">
        <f>MAX(0,MIN(C40,$B$8-D40))</f>
        <v/>
      </c>
      <c r="F40" s="13">
        <f>MAX(0,C40-E40)</f>
        <v/>
      </c>
    </row>
    <row r="41">
      <c r="A41" s="21" t="n">
        <v>19</v>
      </c>
      <c r="B41" s="33" t="n">
        <v>46569</v>
      </c>
      <c r="C41" s="13">
        <f>F40</f>
        <v/>
      </c>
      <c r="D41" s="13">
        <f>MAX(0,C41*$B$7/12)</f>
        <v/>
      </c>
      <c r="E41" s="13">
        <f>MAX(0,MIN(C41,$B$8-D41))</f>
        <v/>
      </c>
      <c r="F41" s="13">
        <f>MAX(0,C41-E41)</f>
        <v/>
      </c>
    </row>
    <row r="42">
      <c r="A42" s="21" t="n">
        <v>20</v>
      </c>
      <c r="B42" s="33" t="n">
        <v>46600</v>
      </c>
      <c r="C42" s="13">
        <f>F41</f>
        <v/>
      </c>
      <c r="D42" s="13">
        <f>MAX(0,C42*$B$7/12)</f>
        <v/>
      </c>
      <c r="E42" s="13">
        <f>MAX(0,MIN(C42,$B$8-D42))</f>
        <v/>
      </c>
      <c r="F42" s="13">
        <f>MAX(0,C42-E42)</f>
        <v/>
      </c>
    </row>
    <row r="45">
      <c r="A45" s="2" t="inlineStr">
        <is>
          <t>ANNUAL SUMMARY</t>
        </is>
      </c>
    </row>
    <row r="46">
      <c r="A46" s="30" t="inlineStr">
        <is>
          <t>Year</t>
        </is>
      </c>
      <c r="B46" s="30" t="inlineStr"/>
      <c r="C46" s="30" t="inlineStr">
        <is>
          <t>Opening</t>
        </is>
      </c>
      <c r="D46" s="30" t="inlineStr">
        <is>
          <t>Interest</t>
        </is>
      </c>
      <c r="E46" s="30" t="inlineStr">
        <is>
          <t>Principal</t>
        </is>
      </c>
      <c r="F46" s="30" t="inlineStr">
        <is>
          <t>Closing</t>
        </is>
      </c>
    </row>
    <row r="47">
      <c r="A47" s="21" t="n">
        <v>2026</v>
      </c>
      <c r="C47" s="13">
        <f>C23</f>
        <v/>
      </c>
      <c r="D47" s="13">
        <f>SUM(D23:D34)</f>
        <v/>
      </c>
      <c r="E47" s="13">
        <f>SUM(E23:E34)</f>
        <v/>
      </c>
      <c r="F47" s="13">
        <f>F34</f>
        <v/>
      </c>
    </row>
    <row r="48">
      <c r="A48" s="21" t="n">
        <v>2027</v>
      </c>
      <c r="C48" s="13">
        <f>C35</f>
        <v/>
      </c>
      <c r="D48" s="13">
        <f>SUM(D35:D42)</f>
        <v/>
      </c>
      <c r="E48" s="13">
        <f>SUM(E35:E42)</f>
        <v/>
      </c>
      <c r="F48" s="13">
        <f>F42</f>
        <v/>
      </c>
    </row>
    <row r="51">
      <c r="A51" s="1" t="inlineStr">
        <is>
          <t>CURRENT BALANCE (for DS link):</t>
        </is>
      </c>
      <c r="B51" s="31">
        <f>F34</f>
        <v/>
      </c>
    </row>
  </sheetData>
  <mergeCells count="4">
    <mergeCell ref="A45:F45"/>
    <mergeCell ref="A1:F1"/>
    <mergeCell ref="A12:F12"/>
    <mergeCell ref="B18:F18"/>
  </mergeCells>
  <pageMargins left="0.75" right="0.75" top="1" bottom="1" header="0.5" footer="0.5"/>
  <legacyDrawing xmlns:r="http://schemas.openxmlformats.org/officeDocument/2006/relationships" r:id="anysvml"/>
</worksheet>
</file>

<file path=xl/worksheets/sheet18.xml><?xml version="1.0" encoding="utf-8"?>
<worksheet xmlns="http://schemas.openxmlformats.org/spreadsheetml/2006/main">
  <sheetPr>
    <tabColor rgb="00808080"/>
    <outlinePr summaryBelow="1" summaryRight="1"/>
    <pageSetUpPr/>
  </sheetPr>
  <dimension ref="A1:F51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PACCAR FINANCIAL - LOAN #6</t>
        </is>
      </c>
    </row>
    <row r="2">
      <c r="A2" t="inlineStr">
        <is>
          <t>Description:</t>
        </is>
      </c>
      <c r="B2" s="4" t="inlineStr">
        <is>
          <t>3 T680</t>
        </is>
      </c>
    </row>
    <row r="3">
      <c r="A3" t="inlineStr">
        <is>
          <t>Loan ID:</t>
        </is>
      </c>
      <c r="B3" t="inlineStr">
        <is>
          <t>05-2959-003-000-00</t>
        </is>
      </c>
    </row>
    <row r="4">
      <c r="A4" t="inlineStr">
        <is>
          <t>Loan Number:</t>
        </is>
      </c>
      <c r="B4" t="inlineStr">
        <is>
          <t>7285620</t>
        </is>
      </c>
    </row>
    <row r="5">
      <c r="A5" t="inlineStr">
        <is>
          <t>Collateral:</t>
        </is>
      </c>
      <c r="B5" t="inlineStr">
        <is>
          <t>Equipment - Semi Trucks</t>
        </is>
      </c>
    </row>
    <row r="6">
      <c r="A6" t="inlineStr">
        <is>
          <t>Opening Balance (12/31/25):</t>
        </is>
      </c>
      <c r="B6" s="26" t="n">
        <v>130933</v>
      </c>
    </row>
    <row r="7">
      <c r="A7" t="inlineStr">
        <is>
          <t>Annual Interest Rate:</t>
        </is>
      </c>
      <c r="B7" s="6" t="n">
        <v>0.0279</v>
      </c>
    </row>
    <row r="8">
      <c r="A8" t="inlineStr">
        <is>
          <t>Monthly Payment:</t>
        </is>
      </c>
      <c r="B8" s="26" t="n">
        <v>7088</v>
      </c>
    </row>
    <row r="9">
      <c r="A9" t="inlineStr">
        <is>
          <t>Origination Date:</t>
        </is>
      </c>
      <c r="B9" s="32" t="n">
        <v>44476</v>
      </c>
    </row>
    <row r="10">
      <c r="A10" t="inlineStr">
        <is>
          <t>Maturity Date:</t>
        </is>
      </c>
      <c r="B10" s="32" t="n">
        <v>46589</v>
      </c>
    </row>
    <row r="12">
      <c r="A12" s="8" t="inlineStr">
        <is>
          <t>AI ANALYSIS</t>
        </is>
      </c>
    </row>
    <row r="13">
      <c r="A13" t="inlineStr">
        <is>
          <t>Loan Type:</t>
        </is>
      </c>
      <c r="B13" s="9" t="inlineStr">
        <is>
          <t>AMORTIZING</t>
        </is>
      </c>
    </row>
    <row r="14">
      <c r="A14" t="inlineStr">
        <is>
          <t>Lender:</t>
        </is>
      </c>
      <c r="B14" s="9" t="inlineStr">
        <is>
          <t>Paccar Financial</t>
        </is>
      </c>
    </row>
    <row r="15">
      <c r="A15" t="inlineStr">
        <is>
          <t>Equipment Type:</t>
        </is>
      </c>
      <c r="B15" s="9" t="inlineStr">
        <is>
          <t>Semi Trucks (Kenworth/Peterbilt)</t>
        </is>
      </c>
    </row>
    <row r="16">
      <c r="A16" t="inlineStr">
        <is>
          <t>Original Balance:</t>
        </is>
      </c>
      <c r="B16" s="28" t="n">
        <v>428375</v>
      </c>
    </row>
    <row r="17">
      <c r="A17" t="inlineStr">
        <is>
          <t>Months Remaining (from 1/1/26):</t>
        </is>
      </c>
      <c r="B17" s="9" t="n">
        <v>18</v>
      </c>
    </row>
    <row r="18">
      <c r="A18" t="inlineStr">
        <is>
          <t>Amortization Notes:</t>
        </is>
      </c>
      <c r="B18" s="9" t="inlineStr">
        <is>
          <t>Standard equipment financing with fixed monthly payments. Interest calculated on declining balance.</t>
        </is>
      </c>
    </row>
    <row r="19">
      <c r="A19" t="inlineStr">
        <is>
          <t>Source Document:</t>
        </is>
      </c>
      <c r="B19" s="9" t="inlineStr">
        <is>
          <t>Meiborg_Debt_Schedule_202512.xlsx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21" t="n">
        <v>1</v>
      </c>
      <c r="B23" s="33" t="n">
        <v>46023</v>
      </c>
      <c r="C23" s="13">
        <f>$B$6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21" t="n">
        <v>2</v>
      </c>
      <c r="B24" s="33" t="n">
        <v>46054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21" t="n">
        <v>3</v>
      </c>
      <c r="B25" s="33" t="n">
        <v>46082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21" t="n">
        <v>4</v>
      </c>
      <c r="B26" s="33" t="n">
        <v>46113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21" t="n">
        <v>5</v>
      </c>
      <c r="B27" s="33" t="n">
        <v>46143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21" t="n">
        <v>6</v>
      </c>
      <c r="B28" s="33" t="n">
        <v>46174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21" t="n">
        <v>7</v>
      </c>
      <c r="B29" s="33" t="n">
        <v>46204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21" t="n">
        <v>8</v>
      </c>
      <c r="B30" s="33" t="n">
        <v>46235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21" t="n">
        <v>9</v>
      </c>
      <c r="B31" s="33" t="n">
        <v>46266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21" t="n">
        <v>10</v>
      </c>
      <c r="B32" s="33" t="n">
        <v>46296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21" t="n">
        <v>11</v>
      </c>
      <c r="B33" s="33" t="n">
        <v>46327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4">
      <c r="A34" s="21" t="n">
        <v>12</v>
      </c>
      <c r="B34" s="33" t="n">
        <v>46357</v>
      </c>
      <c r="C34" s="13">
        <f>F33</f>
        <v/>
      </c>
      <c r="D34" s="13">
        <f>MAX(0,C34*$B$7/12)</f>
        <v/>
      </c>
      <c r="E34" s="13">
        <f>MAX(0,MIN(C34,$B$8-D34))</f>
        <v/>
      </c>
      <c r="F34" s="13">
        <f>MAX(0,C34-E34)</f>
        <v/>
      </c>
    </row>
    <row r="35">
      <c r="A35" s="21" t="n">
        <v>13</v>
      </c>
      <c r="B35" s="33" t="n">
        <v>46388</v>
      </c>
      <c r="C35" s="13">
        <f>F34</f>
        <v/>
      </c>
      <c r="D35" s="13">
        <f>MAX(0,C35*$B$7/12)</f>
        <v/>
      </c>
      <c r="E35" s="13">
        <f>MAX(0,MIN(C35,$B$8-D35))</f>
        <v/>
      </c>
      <c r="F35" s="13">
        <f>MAX(0,C35-E35)</f>
        <v/>
      </c>
    </row>
    <row r="36">
      <c r="A36" s="21" t="n">
        <v>14</v>
      </c>
      <c r="B36" s="33" t="n">
        <v>46419</v>
      </c>
      <c r="C36" s="13">
        <f>F35</f>
        <v/>
      </c>
      <c r="D36" s="13">
        <f>MAX(0,C36*$B$7/12)</f>
        <v/>
      </c>
      <c r="E36" s="13">
        <f>MAX(0,MIN(C36,$B$8-D36))</f>
        <v/>
      </c>
      <c r="F36" s="13">
        <f>MAX(0,C36-E36)</f>
        <v/>
      </c>
    </row>
    <row r="37">
      <c r="A37" s="21" t="n">
        <v>15</v>
      </c>
      <c r="B37" s="33" t="n">
        <v>46447</v>
      </c>
      <c r="C37" s="13">
        <f>F36</f>
        <v/>
      </c>
      <c r="D37" s="13">
        <f>MAX(0,C37*$B$7/12)</f>
        <v/>
      </c>
      <c r="E37" s="13">
        <f>MAX(0,MIN(C37,$B$8-D37))</f>
        <v/>
      </c>
      <c r="F37" s="13">
        <f>MAX(0,C37-E37)</f>
        <v/>
      </c>
    </row>
    <row r="38">
      <c r="A38" s="21" t="n">
        <v>16</v>
      </c>
      <c r="B38" s="33" t="n">
        <v>46478</v>
      </c>
      <c r="C38" s="13">
        <f>F37</f>
        <v/>
      </c>
      <c r="D38" s="13">
        <f>MAX(0,C38*$B$7/12)</f>
        <v/>
      </c>
      <c r="E38" s="13">
        <f>MAX(0,MIN(C38,$B$8-D38))</f>
        <v/>
      </c>
      <c r="F38" s="13">
        <f>MAX(0,C38-E38)</f>
        <v/>
      </c>
    </row>
    <row r="39">
      <c r="A39" s="21" t="n">
        <v>17</v>
      </c>
      <c r="B39" s="33" t="n">
        <v>46508</v>
      </c>
      <c r="C39" s="13">
        <f>F38</f>
        <v/>
      </c>
      <c r="D39" s="13">
        <f>MAX(0,C39*$B$7/12)</f>
        <v/>
      </c>
      <c r="E39" s="13">
        <f>MAX(0,MIN(C39,$B$8-D39))</f>
        <v/>
      </c>
      <c r="F39" s="13">
        <f>MAX(0,C39-E39)</f>
        <v/>
      </c>
    </row>
    <row r="40">
      <c r="A40" s="21" t="n">
        <v>18</v>
      </c>
      <c r="B40" s="33" t="n">
        <v>46539</v>
      </c>
      <c r="C40" s="13">
        <f>F39</f>
        <v/>
      </c>
      <c r="D40" s="13">
        <f>MAX(0,C40*$B$7/12)</f>
        <v/>
      </c>
      <c r="E40" s="13">
        <f>MAX(0,MIN(C40,$B$8-D40))</f>
        <v/>
      </c>
      <c r="F40" s="13">
        <f>MAX(0,C40-E40)</f>
        <v/>
      </c>
    </row>
    <row r="41">
      <c r="A41" s="21" t="n">
        <v>19</v>
      </c>
      <c r="B41" s="33" t="n">
        <v>46569</v>
      </c>
      <c r="C41" s="13">
        <f>F40</f>
        <v/>
      </c>
      <c r="D41" s="13">
        <f>MAX(0,C41*$B$7/12)</f>
        <v/>
      </c>
      <c r="E41" s="13">
        <f>MAX(0,MIN(C41,$B$8-D41))</f>
        <v/>
      </c>
      <c r="F41" s="13">
        <f>MAX(0,C41-E41)</f>
        <v/>
      </c>
    </row>
    <row r="42">
      <c r="A42" s="21" t="n">
        <v>20</v>
      </c>
      <c r="B42" s="33" t="n">
        <v>46600</v>
      </c>
      <c r="C42" s="13">
        <f>F41</f>
        <v/>
      </c>
      <c r="D42" s="13">
        <f>MAX(0,C42*$B$7/12)</f>
        <v/>
      </c>
      <c r="E42" s="13">
        <f>MAX(0,MIN(C42,$B$8-D42))</f>
        <v/>
      </c>
      <c r="F42" s="13">
        <f>MAX(0,C42-E42)</f>
        <v/>
      </c>
    </row>
    <row r="45">
      <c r="A45" s="2" t="inlineStr">
        <is>
          <t>ANNUAL SUMMARY</t>
        </is>
      </c>
    </row>
    <row r="46">
      <c r="A46" s="30" t="inlineStr">
        <is>
          <t>Year</t>
        </is>
      </c>
      <c r="B46" s="30" t="inlineStr"/>
      <c r="C46" s="30" t="inlineStr">
        <is>
          <t>Opening</t>
        </is>
      </c>
      <c r="D46" s="30" t="inlineStr">
        <is>
          <t>Interest</t>
        </is>
      </c>
      <c r="E46" s="30" t="inlineStr">
        <is>
          <t>Principal</t>
        </is>
      </c>
      <c r="F46" s="30" t="inlineStr">
        <is>
          <t>Closing</t>
        </is>
      </c>
    </row>
    <row r="47">
      <c r="A47" s="21" t="n">
        <v>2026</v>
      </c>
      <c r="C47" s="13">
        <f>C23</f>
        <v/>
      </c>
      <c r="D47" s="13">
        <f>SUM(D23:D34)</f>
        <v/>
      </c>
      <c r="E47" s="13">
        <f>SUM(E23:E34)</f>
        <v/>
      </c>
      <c r="F47" s="13">
        <f>F34</f>
        <v/>
      </c>
    </row>
    <row r="48">
      <c r="A48" s="21" t="n">
        <v>2027</v>
      </c>
      <c r="C48" s="13">
        <f>C35</f>
        <v/>
      </c>
      <c r="D48" s="13">
        <f>SUM(D35:D42)</f>
        <v/>
      </c>
      <c r="E48" s="13">
        <f>SUM(E35:E42)</f>
        <v/>
      </c>
      <c r="F48" s="13">
        <f>F42</f>
        <v/>
      </c>
    </row>
    <row r="51">
      <c r="A51" s="1" t="inlineStr">
        <is>
          <t>CURRENT BALANCE (for DS link):</t>
        </is>
      </c>
      <c r="B51" s="31">
        <f>F34</f>
        <v/>
      </c>
    </row>
  </sheetData>
  <mergeCells count="4">
    <mergeCell ref="A45:F45"/>
    <mergeCell ref="A1:F1"/>
    <mergeCell ref="A12:F12"/>
    <mergeCell ref="B18:F18"/>
  </mergeCells>
  <pageMargins left="0.75" right="0.75" top="1" bottom="1" header="0.5" footer="0.5"/>
  <legacyDrawing xmlns:r="http://schemas.openxmlformats.org/officeDocument/2006/relationships" r:id="anysvml"/>
</worksheet>
</file>

<file path=xl/worksheets/sheet19.xml><?xml version="1.0" encoding="utf-8"?>
<worksheet xmlns="http://schemas.openxmlformats.org/spreadsheetml/2006/main">
  <sheetPr>
    <tabColor rgb="00808080"/>
    <outlinePr summaryBelow="1" summaryRight="1"/>
    <pageSetUpPr/>
  </sheetPr>
  <dimension ref="A1:F52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PACCAR FINANCIAL - LOAN #7</t>
        </is>
      </c>
    </row>
    <row r="2">
      <c r="A2" t="inlineStr">
        <is>
          <t>Description:</t>
        </is>
      </c>
      <c r="B2" s="4" t="inlineStr">
        <is>
          <t>1 T680</t>
        </is>
      </c>
    </row>
    <row r="3">
      <c r="A3" t="inlineStr">
        <is>
          <t>Loan ID:</t>
        </is>
      </c>
      <c r="B3" t="inlineStr">
        <is>
          <t>05-2959-004-000-00</t>
        </is>
      </c>
    </row>
    <row r="4">
      <c r="A4" t="inlineStr">
        <is>
          <t>Loan Number:</t>
        </is>
      </c>
      <c r="B4" t="inlineStr">
        <is>
          <t>7288350</t>
        </is>
      </c>
    </row>
    <row r="5">
      <c r="A5" t="inlineStr">
        <is>
          <t>Collateral:</t>
        </is>
      </c>
      <c r="B5" t="inlineStr">
        <is>
          <t>Equipment - Semi Trucks</t>
        </is>
      </c>
    </row>
    <row r="6">
      <c r="A6" t="inlineStr">
        <is>
          <t>Opening Balance (12/31/25):</t>
        </is>
      </c>
      <c r="B6" s="26" t="n">
        <v>45435</v>
      </c>
    </row>
    <row r="7">
      <c r="A7" t="inlineStr">
        <is>
          <t>Annual Interest Rate:</t>
        </is>
      </c>
      <c r="B7" s="6" t="n">
        <v>0.0279</v>
      </c>
    </row>
    <row r="8">
      <c r="A8" t="inlineStr">
        <is>
          <t>Monthly Payment:</t>
        </is>
      </c>
      <c r="B8" s="26" t="n">
        <v>2362</v>
      </c>
    </row>
    <row r="9">
      <c r="A9" t="inlineStr">
        <is>
          <t>Origination Date:</t>
        </is>
      </c>
      <c r="B9" s="32" t="n">
        <v>44488</v>
      </c>
    </row>
    <row r="10">
      <c r="A10" t="inlineStr">
        <is>
          <t>Maturity Date:</t>
        </is>
      </c>
      <c r="B10" s="32" t="n">
        <v>46602</v>
      </c>
    </row>
    <row r="12">
      <c r="A12" s="8" t="inlineStr">
        <is>
          <t>AI ANALYSIS</t>
        </is>
      </c>
    </row>
    <row r="13">
      <c r="A13" t="inlineStr">
        <is>
          <t>Loan Type:</t>
        </is>
      </c>
      <c r="B13" s="9" t="inlineStr">
        <is>
          <t>AMORTIZING</t>
        </is>
      </c>
    </row>
    <row r="14">
      <c r="A14" t="inlineStr">
        <is>
          <t>Lender:</t>
        </is>
      </c>
      <c r="B14" s="9" t="inlineStr">
        <is>
          <t>Paccar Financial</t>
        </is>
      </c>
    </row>
    <row r="15">
      <c r="A15" t="inlineStr">
        <is>
          <t>Equipment Type:</t>
        </is>
      </c>
      <c r="B15" s="9" t="inlineStr">
        <is>
          <t>Semi Trucks (Kenworth/Peterbilt)</t>
        </is>
      </c>
    </row>
    <row r="16">
      <c r="A16" t="inlineStr">
        <is>
          <t>Original Balance:</t>
        </is>
      </c>
      <c r="B16" s="28" t="n">
        <v>141875</v>
      </c>
    </row>
    <row r="17">
      <c r="A17" t="inlineStr">
        <is>
          <t>Months Remaining (from 1/1/26):</t>
        </is>
      </c>
      <c r="B17" s="9" t="n">
        <v>19</v>
      </c>
    </row>
    <row r="18">
      <c r="A18" t="inlineStr">
        <is>
          <t>Amortization Notes:</t>
        </is>
      </c>
      <c r="B18" s="9" t="inlineStr">
        <is>
          <t>Standard equipment financing with fixed monthly payments. Interest calculated on declining balance.</t>
        </is>
      </c>
    </row>
    <row r="19">
      <c r="A19" t="inlineStr">
        <is>
          <t>Source Document:</t>
        </is>
      </c>
      <c r="B19" s="9" t="inlineStr">
        <is>
          <t>Meiborg_Debt_Schedule_202512.xlsx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21" t="n">
        <v>1</v>
      </c>
      <c r="B23" s="33" t="n">
        <v>46023</v>
      </c>
      <c r="C23" s="13">
        <f>$B$6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21" t="n">
        <v>2</v>
      </c>
      <c r="B24" s="33" t="n">
        <v>46054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21" t="n">
        <v>3</v>
      </c>
      <c r="B25" s="33" t="n">
        <v>46082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21" t="n">
        <v>4</v>
      </c>
      <c r="B26" s="33" t="n">
        <v>46113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21" t="n">
        <v>5</v>
      </c>
      <c r="B27" s="33" t="n">
        <v>46143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21" t="n">
        <v>6</v>
      </c>
      <c r="B28" s="33" t="n">
        <v>46174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21" t="n">
        <v>7</v>
      </c>
      <c r="B29" s="33" t="n">
        <v>46204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21" t="n">
        <v>8</v>
      </c>
      <c r="B30" s="33" t="n">
        <v>46235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21" t="n">
        <v>9</v>
      </c>
      <c r="B31" s="33" t="n">
        <v>46266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21" t="n">
        <v>10</v>
      </c>
      <c r="B32" s="33" t="n">
        <v>46296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21" t="n">
        <v>11</v>
      </c>
      <c r="B33" s="33" t="n">
        <v>46327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4">
      <c r="A34" s="21" t="n">
        <v>12</v>
      </c>
      <c r="B34" s="33" t="n">
        <v>46357</v>
      </c>
      <c r="C34" s="13">
        <f>F33</f>
        <v/>
      </c>
      <c r="D34" s="13">
        <f>MAX(0,C34*$B$7/12)</f>
        <v/>
      </c>
      <c r="E34" s="13">
        <f>MAX(0,MIN(C34,$B$8-D34))</f>
        <v/>
      </c>
      <c r="F34" s="13">
        <f>MAX(0,C34-E34)</f>
        <v/>
      </c>
    </row>
    <row r="35">
      <c r="A35" s="21" t="n">
        <v>13</v>
      </c>
      <c r="B35" s="33" t="n">
        <v>46388</v>
      </c>
      <c r="C35" s="13">
        <f>F34</f>
        <v/>
      </c>
      <c r="D35" s="13">
        <f>MAX(0,C35*$B$7/12)</f>
        <v/>
      </c>
      <c r="E35" s="13">
        <f>MAX(0,MIN(C35,$B$8-D35))</f>
        <v/>
      </c>
      <c r="F35" s="13">
        <f>MAX(0,C35-E35)</f>
        <v/>
      </c>
    </row>
    <row r="36">
      <c r="A36" s="21" t="n">
        <v>14</v>
      </c>
      <c r="B36" s="33" t="n">
        <v>46419</v>
      </c>
      <c r="C36" s="13">
        <f>F35</f>
        <v/>
      </c>
      <c r="D36" s="13">
        <f>MAX(0,C36*$B$7/12)</f>
        <v/>
      </c>
      <c r="E36" s="13">
        <f>MAX(0,MIN(C36,$B$8-D36))</f>
        <v/>
      </c>
      <c r="F36" s="13">
        <f>MAX(0,C36-E36)</f>
        <v/>
      </c>
    </row>
    <row r="37">
      <c r="A37" s="21" t="n">
        <v>15</v>
      </c>
      <c r="B37" s="33" t="n">
        <v>46447</v>
      </c>
      <c r="C37" s="13">
        <f>F36</f>
        <v/>
      </c>
      <c r="D37" s="13">
        <f>MAX(0,C37*$B$7/12)</f>
        <v/>
      </c>
      <c r="E37" s="13">
        <f>MAX(0,MIN(C37,$B$8-D37))</f>
        <v/>
      </c>
      <c r="F37" s="13">
        <f>MAX(0,C37-E37)</f>
        <v/>
      </c>
    </row>
    <row r="38">
      <c r="A38" s="21" t="n">
        <v>16</v>
      </c>
      <c r="B38" s="33" t="n">
        <v>46478</v>
      </c>
      <c r="C38" s="13">
        <f>F37</f>
        <v/>
      </c>
      <c r="D38" s="13">
        <f>MAX(0,C38*$B$7/12)</f>
        <v/>
      </c>
      <c r="E38" s="13">
        <f>MAX(0,MIN(C38,$B$8-D38))</f>
        <v/>
      </c>
      <c r="F38" s="13">
        <f>MAX(0,C38-E38)</f>
        <v/>
      </c>
    </row>
    <row r="39">
      <c r="A39" s="21" t="n">
        <v>17</v>
      </c>
      <c r="B39" s="33" t="n">
        <v>46508</v>
      </c>
      <c r="C39" s="13">
        <f>F38</f>
        <v/>
      </c>
      <c r="D39" s="13">
        <f>MAX(0,C39*$B$7/12)</f>
        <v/>
      </c>
      <c r="E39" s="13">
        <f>MAX(0,MIN(C39,$B$8-D39))</f>
        <v/>
      </c>
      <c r="F39" s="13">
        <f>MAX(0,C39-E39)</f>
        <v/>
      </c>
    </row>
    <row r="40">
      <c r="A40" s="21" t="n">
        <v>18</v>
      </c>
      <c r="B40" s="33" t="n">
        <v>46539</v>
      </c>
      <c r="C40" s="13">
        <f>F39</f>
        <v/>
      </c>
      <c r="D40" s="13">
        <f>MAX(0,C40*$B$7/12)</f>
        <v/>
      </c>
      <c r="E40" s="13">
        <f>MAX(0,MIN(C40,$B$8-D40))</f>
        <v/>
      </c>
      <c r="F40" s="13">
        <f>MAX(0,C40-E40)</f>
        <v/>
      </c>
    </row>
    <row r="41">
      <c r="A41" s="21" t="n">
        <v>19</v>
      </c>
      <c r="B41" s="33" t="n">
        <v>46569</v>
      </c>
      <c r="C41" s="13">
        <f>F40</f>
        <v/>
      </c>
      <c r="D41" s="13">
        <f>MAX(0,C41*$B$7/12)</f>
        <v/>
      </c>
      <c r="E41" s="13">
        <f>MAX(0,MIN(C41,$B$8-D41))</f>
        <v/>
      </c>
      <c r="F41" s="13">
        <f>MAX(0,C41-E41)</f>
        <v/>
      </c>
    </row>
    <row r="42">
      <c r="A42" s="21" t="n">
        <v>20</v>
      </c>
      <c r="B42" s="33" t="n">
        <v>46600</v>
      </c>
      <c r="C42" s="13">
        <f>F41</f>
        <v/>
      </c>
      <c r="D42" s="13">
        <f>MAX(0,C42*$B$7/12)</f>
        <v/>
      </c>
      <c r="E42" s="13">
        <f>MAX(0,MIN(C42,$B$8-D42))</f>
        <v/>
      </c>
      <c r="F42" s="13">
        <f>MAX(0,C42-E42)</f>
        <v/>
      </c>
    </row>
    <row r="43">
      <c r="A43" s="21" t="n">
        <v>21</v>
      </c>
      <c r="B43" s="33" t="n">
        <v>46631</v>
      </c>
      <c r="C43" s="13">
        <f>F42</f>
        <v/>
      </c>
      <c r="D43" s="13">
        <f>MAX(0,C43*$B$7/12)</f>
        <v/>
      </c>
      <c r="E43" s="13">
        <f>MAX(0,MIN(C43,$B$8-D43))</f>
        <v/>
      </c>
      <c r="F43" s="13">
        <f>MAX(0,C43-E43)</f>
        <v/>
      </c>
    </row>
    <row r="46">
      <c r="A46" s="2" t="inlineStr">
        <is>
          <t>ANNUAL SUMMARY</t>
        </is>
      </c>
    </row>
    <row r="47">
      <c r="A47" s="30" t="inlineStr">
        <is>
          <t>Year</t>
        </is>
      </c>
      <c r="B47" s="30" t="inlineStr"/>
      <c r="C47" s="30" t="inlineStr">
        <is>
          <t>Opening</t>
        </is>
      </c>
      <c r="D47" s="30" t="inlineStr">
        <is>
          <t>Interest</t>
        </is>
      </c>
      <c r="E47" s="30" t="inlineStr">
        <is>
          <t>Principal</t>
        </is>
      </c>
      <c r="F47" s="30" t="inlineStr">
        <is>
          <t>Closing</t>
        </is>
      </c>
    </row>
    <row r="48">
      <c r="A48" s="21" t="n">
        <v>2026</v>
      </c>
      <c r="C48" s="13">
        <f>C23</f>
        <v/>
      </c>
      <c r="D48" s="13">
        <f>SUM(D23:D34)</f>
        <v/>
      </c>
      <c r="E48" s="13">
        <f>SUM(E23:E34)</f>
        <v/>
      </c>
      <c r="F48" s="13">
        <f>F34</f>
        <v/>
      </c>
    </row>
    <row r="49">
      <c r="A49" s="21" t="n">
        <v>2027</v>
      </c>
      <c r="C49" s="13">
        <f>C35</f>
        <v/>
      </c>
      <c r="D49" s="13">
        <f>SUM(D35:D43)</f>
        <v/>
      </c>
      <c r="E49" s="13">
        <f>SUM(E35:E43)</f>
        <v/>
      </c>
      <c r="F49" s="13">
        <f>F43</f>
        <v/>
      </c>
    </row>
    <row r="52">
      <c r="A52" s="1" t="inlineStr">
        <is>
          <t>CURRENT BALANCE (for DS link):</t>
        </is>
      </c>
      <c r="B52" s="31">
        <f>F34</f>
        <v/>
      </c>
    </row>
  </sheetData>
  <mergeCells count="4">
    <mergeCell ref="A1:F1"/>
    <mergeCell ref="A12:F12"/>
    <mergeCell ref="B18:F18"/>
    <mergeCell ref="A46:F46"/>
  </mergeCell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tabColor rgb="001A2A3D"/>
    <outlinePr summaryBelow="1" summaryRight="1"/>
    <pageSetUpPr fitToPage="1"/>
  </sheetPr>
  <dimension ref="A3:H41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22" customWidth="1" min="2" max="2"/>
    <col width="42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15" customHeight="1"/>
    <row r="2" ht="10" customHeight="1"/>
    <row r="3" ht="45" customHeight="1">
      <c r="A3" s="133" t="inlineStr">
        <is>
          <t>FINANCIAL MODEL</t>
        </is>
      </c>
    </row>
    <row r="4" ht="8" customHeight="1">
      <c r="A4" s="134" t="n"/>
      <c r="B4" s="134" t="n"/>
      <c r="C4" s="134" t="n"/>
      <c r="D4" s="134" t="n"/>
      <c r="E4" s="134" t="n"/>
      <c r="F4" s="134" t="n"/>
      <c r="G4" s="134" t="n"/>
      <c r="H4" s="134" t="n"/>
    </row>
    <row r="5" ht="20" customHeight="1">
      <c r="A5" s="135" t="inlineStr">
        <is>
          <t>[COMPANY LOGO]</t>
        </is>
      </c>
    </row>
    <row r="6"/>
    <row r="7"/>
    <row r="8"/>
    <row r="9" ht="12" customHeight="1"/>
    <row r="10">
      <c r="B10" s="136" t="inlineStr">
        <is>
          <t>Company:</t>
        </is>
      </c>
      <c r="C10" s="137" t="inlineStr">
        <is>
          <t>Meiborg Companies, Inc.</t>
        </is>
      </c>
    </row>
    <row r="11">
      <c r="B11" s="136" t="inlineStr">
        <is>
          <t>Industry:</t>
        </is>
      </c>
      <c r="C11" s="137" t="inlineStr">
        <is>
          <t>Transportation &amp; Logistics</t>
        </is>
      </c>
    </row>
    <row r="12">
      <c r="B12" s="136" t="inlineStr">
        <is>
          <t>Headquarters:</t>
        </is>
      </c>
      <c r="C12" s="137" t="inlineStr">
        <is>
          <t>Rockford, IL / Houston, TX</t>
        </is>
      </c>
    </row>
    <row r="13">
      <c r="B13" s="136" t="inlineStr">
        <is>
          <t>Founded:</t>
        </is>
      </c>
      <c r="C13" s="137" t="inlineStr">
        <is>
          <t>1995</t>
        </is>
      </c>
    </row>
    <row r="14">
      <c r="B14" s="136" t="inlineStr">
        <is>
          <t>Fiscal Year End:</t>
        </is>
      </c>
      <c r="C14" s="137" t="inlineStr">
        <is>
          <t>December 31</t>
        </is>
      </c>
    </row>
    <row r="15">
      <c r="B15" s="136" t="inlineStr">
        <is>
          <t>Reporting Currency:</t>
        </is>
      </c>
      <c r="C15" s="137" t="inlineStr">
        <is>
          <t>USD</t>
        </is>
      </c>
    </row>
    <row r="16" ht="12" customHeight="1"/>
    <row r="17">
      <c r="B17" s="163" t="inlineStr">
        <is>
          <t>TRANSACTION OVERVIEW</t>
        </is>
      </c>
      <c r="C17" s="146" t="n"/>
      <c r="D17" s="146" t="n"/>
      <c r="E17" s="146" t="n"/>
      <c r="F17" s="146" t="n"/>
      <c r="G17" s="146" t="n"/>
      <c r="H17" s="146" t="n"/>
    </row>
    <row r="18">
      <c r="B18" s="136" t="inlineStr">
        <is>
          <t>Transaction Type:</t>
        </is>
      </c>
      <c r="C18" s="137" t="inlineStr">
        <is>
          <t>Debt Refinancing + ABL + PropCo Separation</t>
        </is>
      </c>
    </row>
    <row r="19">
      <c r="B19" s="136" t="inlineStr">
        <is>
          <t>Transaction Size:</t>
        </is>
      </c>
      <c r="C19" s="137" t="inlineStr">
        <is>
          <t>$50.4M</t>
        </is>
      </c>
    </row>
    <row r="20">
      <c r="B20" s="136" t="inlineStr">
        <is>
          <t>Revenue (TTM):</t>
        </is>
      </c>
      <c r="C20" s="137" t="inlineStr">
        <is>
          <t>$109.4M</t>
        </is>
      </c>
    </row>
    <row r="21">
      <c r="B21" s="136" t="inlineStr">
        <is>
          <t>EBITDA (TTM):</t>
        </is>
      </c>
      <c r="C21" s="137" t="inlineStr">
        <is>
          <t>$11.1M</t>
        </is>
      </c>
    </row>
    <row r="22">
      <c r="B22" s="136" t="inlineStr">
        <is>
          <t>Total Debt:</t>
        </is>
      </c>
      <c r="C22" s="137" t="inlineStr">
        <is>
          <t>$49.9M</t>
        </is>
      </c>
    </row>
    <row r="23">
      <c r="B23" s="136" t="inlineStr">
        <is>
          <t>Number of Lenders:</t>
        </is>
      </c>
      <c r="C23" s="137" t="inlineStr">
        <is>
          <t>27 (84 individual facilities)</t>
        </is>
      </c>
    </row>
    <row r="24" ht="12" customHeight="1"/>
    <row r="25">
      <c r="B25" s="163" t="inlineStr">
        <is>
          <t>KEY THESIS</t>
        </is>
      </c>
      <c r="C25" s="146" t="n"/>
      <c r="D25" s="146" t="n"/>
      <c r="E25" s="146" t="n"/>
      <c r="F25" s="146" t="n"/>
      <c r="G25" s="146" t="n"/>
      <c r="H25" s="146" t="n"/>
    </row>
    <row r="26" ht="20" customHeight="1">
      <c r="B26" s="139" t="inlineStr">
        <is>
          <t>(i) Consolidate $50.4M of fragmented equipment/RE debt across 18+ lenders into 2-3 institutional facilities (saves $4.3M/yr in debt service)</t>
        </is>
      </c>
    </row>
    <row r="27" ht="20" customHeight="1">
      <c r="B27" s="139" t="inlineStr">
        <is>
          <t>(ii) Introduce $6-10M ABL against $11.5M AR</t>
        </is>
      </c>
    </row>
    <row r="28" ht="20" customHeight="1">
      <c r="B28" s="139" t="inlineStr">
        <is>
          <t>(iii) Carve owned IL real estate into PropCo entity to unlock $31.2M equity at 6.25-6.75% IO vs current 9% IO</t>
        </is>
      </c>
    </row>
    <row r="29" ht="12" customHeight="1"/>
    <row r="30">
      <c r="B30" s="163" t="inlineStr">
        <is>
          <t>MODEL CONTENTS</t>
        </is>
      </c>
      <c r="C30" s="146" t="n"/>
      <c r="D30" s="146" t="n"/>
      <c r="E30" s="146" t="n"/>
      <c r="F30" s="146" t="n"/>
      <c r="G30" s="146" t="n"/>
      <c r="H30" s="146" t="n"/>
    </row>
    <row r="31">
      <c r="B31" s="140" t="inlineStr">
        <is>
          <t>Income Statement</t>
        </is>
      </c>
      <c r="C31" s="141" t="inlineStr">
        <is>
          <t>|</t>
        </is>
      </c>
      <c r="D31" s="142" t="inlineStr">
        <is>
          <t>Historical &amp; Projected</t>
        </is>
      </c>
    </row>
    <row r="32">
      <c r="B32" s="140" t="inlineStr">
        <is>
          <t>Balance Sheet</t>
        </is>
      </c>
      <c r="C32" s="141" t="inlineStr">
        <is>
          <t>|</t>
        </is>
      </c>
      <c r="D32" s="142" t="inlineStr">
        <is>
          <t>Historical &amp; Projected</t>
        </is>
      </c>
    </row>
    <row r="33">
      <c r="B33" s="140" t="inlineStr">
        <is>
          <t>Cash Flow Statement</t>
        </is>
      </c>
      <c r="C33" s="141" t="inlineStr">
        <is>
          <t>|</t>
        </is>
      </c>
      <c r="D33" s="142" t="inlineStr">
        <is>
          <t>Historical &amp; Projected</t>
        </is>
      </c>
    </row>
    <row r="34">
      <c r="B34" s="140" t="inlineStr">
        <is>
          <t>Debt Schedule</t>
        </is>
      </c>
      <c r="C34" s="141" t="inlineStr">
        <is>
          <t>|</t>
        </is>
      </c>
      <c r="D34" s="142" t="inlineStr">
        <is>
          <t>84 Individual Loan Details</t>
        </is>
      </c>
    </row>
    <row r="35">
      <c r="B35" s="140" t="inlineStr">
        <is>
          <t>P&amp;L Detail</t>
        </is>
      </c>
      <c r="C35" s="141" t="inlineStr">
        <is>
          <t>|</t>
        </is>
      </c>
      <c r="D35" s="142" t="inlineStr">
        <is>
          <t>Granular Account-Level Breakdown</t>
        </is>
      </c>
    </row>
    <row r="36">
      <c r="B36" s="140" t="inlineStr">
        <is>
          <t>Quality of Earnings</t>
        </is>
      </c>
      <c r="C36" s="141" t="inlineStr">
        <is>
          <t>|</t>
        </is>
      </c>
      <c r="D36" s="142" t="inlineStr">
        <is>
          <t>EBITDA Bridge &amp; Adjustments</t>
        </is>
      </c>
    </row>
    <row r="37">
      <c r="B37" s="140" t="inlineStr">
        <is>
          <t>Assumptions</t>
        </is>
      </c>
      <c r="C37" s="141" t="inlineStr">
        <is>
          <t>|</t>
        </is>
      </c>
      <c r="D37" s="142" t="inlineStr">
        <is>
          <t>Scenario Drivers</t>
        </is>
      </c>
    </row>
    <row r="38" ht="15" customHeight="1"/>
    <row r="39" ht="8" customHeight="1">
      <c r="A39" s="143" t="n"/>
      <c r="B39" s="143" t="n"/>
      <c r="C39" s="143" t="n"/>
      <c r="D39" s="143" t="n"/>
      <c r="E39" s="143" t="n"/>
      <c r="F39" s="143" t="n"/>
      <c r="G39" s="143" t="n"/>
      <c r="H39" s="143" t="n"/>
    </row>
    <row r="40">
      <c r="A40" s="144" t="inlineStr">
        <is>
          <t>ERAH Capital Advisors | May 2026 | Strictly Confidential - Not for Distribution</t>
        </is>
      </c>
    </row>
    <row r="41">
      <c r="A41" s="145" t="inlineStr">
        <is>
          <t>Prepared for internal lender presentation purposes</t>
        </is>
      </c>
    </row>
  </sheetData>
  <mergeCells count="17">
    <mergeCell ref="A5:C8"/>
    <mergeCell ref="A3:H3"/>
    <mergeCell ref="D35:H35"/>
    <mergeCell ref="B26:H26"/>
    <mergeCell ref="B17:H17"/>
    <mergeCell ref="B27:H27"/>
    <mergeCell ref="D34:H34"/>
    <mergeCell ref="D32:H32"/>
    <mergeCell ref="D33:H33"/>
    <mergeCell ref="B30:H30"/>
    <mergeCell ref="D37:H37"/>
    <mergeCell ref="A41:H41"/>
    <mergeCell ref="D31:H31"/>
    <mergeCell ref="B25:H25"/>
    <mergeCell ref="D36:H36"/>
    <mergeCell ref="B28:H28"/>
    <mergeCell ref="A40:H40"/>
  </mergeCells>
  <pageMargins left="0.75" right="0.75" top="1" bottom="1" header="0.5" footer="0.5"/>
  <pageSetup orientation="portrait" fitToHeight="1" fitToWidth="1"/>
  <legacyDrawing xmlns:r="http://schemas.openxmlformats.org/officeDocument/2006/relationships" r:id="anysvml"/>
</worksheet>
</file>

<file path=xl/worksheets/sheet20.xml><?xml version="1.0" encoding="utf-8"?>
<worksheet xmlns="http://schemas.openxmlformats.org/spreadsheetml/2006/main">
  <sheetPr>
    <tabColor rgb="00808080"/>
    <outlinePr summaryBelow="1" summaryRight="1"/>
    <pageSetUpPr/>
  </sheetPr>
  <dimension ref="A1:F53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PACCAR FINANCIAL - LOAN #8</t>
        </is>
      </c>
    </row>
    <row r="2">
      <c r="A2" t="inlineStr">
        <is>
          <t>Description:</t>
        </is>
      </c>
      <c r="B2" s="4" t="inlineStr">
        <is>
          <t>1 T680</t>
        </is>
      </c>
    </row>
    <row r="3">
      <c r="A3" t="inlineStr">
        <is>
          <t>Loan ID:</t>
        </is>
      </c>
      <c r="B3" t="inlineStr">
        <is>
          <t>05-2959-005-000-00</t>
        </is>
      </c>
    </row>
    <row r="4">
      <c r="A4" t="inlineStr">
        <is>
          <t>Loan Number:</t>
        </is>
      </c>
      <c r="B4" t="inlineStr">
        <is>
          <t>7297237</t>
        </is>
      </c>
    </row>
    <row r="5">
      <c r="A5" t="inlineStr">
        <is>
          <t>Collateral:</t>
        </is>
      </c>
      <c r="B5" t="inlineStr">
        <is>
          <t>Equipment - Semi Trucks</t>
        </is>
      </c>
    </row>
    <row r="6">
      <c r="A6" t="inlineStr">
        <is>
          <t>Opening Balance (12/31/25):</t>
        </is>
      </c>
      <c r="B6" s="26" t="n">
        <v>47670</v>
      </c>
    </row>
    <row r="7">
      <c r="A7" t="inlineStr">
        <is>
          <t>Annual Interest Rate:</t>
        </is>
      </c>
      <c r="B7" s="6" t="n">
        <v>0.0279</v>
      </c>
    </row>
    <row r="8">
      <c r="A8" t="inlineStr">
        <is>
          <t>Monthly Payment:</t>
        </is>
      </c>
      <c r="B8" s="26" t="n">
        <v>2361</v>
      </c>
    </row>
    <row r="9">
      <c r="A9" t="inlineStr">
        <is>
          <t>Origination Date:</t>
        </is>
      </c>
      <c r="B9" s="32" t="n">
        <v>44519</v>
      </c>
    </row>
    <row r="10">
      <c r="A10" t="inlineStr">
        <is>
          <t>Maturity Date:</t>
        </is>
      </c>
      <c r="B10" s="32" t="n">
        <v>46633</v>
      </c>
    </row>
    <row r="12">
      <c r="A12" s="8" t="inlineStr">
        <is>
          <t>AI ANALYSIS</t>
        </is>
      </c>
    </row>
    <row r="13">
      <c r="A13" t="inlineStr">
        <is>
          <t>Loan Type:</t>
        </is>
      </c>
      <c r="B13" s="9" t="inlineStr">
        <is>
          <t>AMORTIZING</t>
        </is>
      </c>
    </row>
    <row r="14">
      <c r="A14" t="inlineStr">
        <is>
          <t>Lender:</t>
        </is>
      </c>
      <c r="B14" s="9" t="inlineStr">
        <is>
          <t>Paccar Financial</t>
        </is>
      </c>
    </row>
    <row r="15">
      <c r="A15" t="inlineStr">
        <is>
          <t>Equipment Type:</t>
        </is>
      </c>
      <c r="B15" s="9" t="inlineStr">
        <is>
          <t>Semi Trucks (Kenworth/Peterbilt)</t>
        </is>
      </c>
    </row>
    <row r="16">
      <c r="A16" t="inlineStr">
        <is>
          <t>Original Balance:</t>
        </is>
      </c>
      <c r="B16" s="28" t="n">
        <v>141875</v>
      </c>
    </row>
    <row r="17">
      <c r="A17" t="inlineStr">
        <is>
          <t>Months Remaining (from 1/1/26):</t>
        </is>
      </c>
      <c r="B17" s="9" t="n">
        <v>20</v>
      </c>
    </row>
    <row r="18">
      <c r="A18" t="inlineStr">
        <is>
          <t>Amortization Notes:</t>
        </is>
      </c>
      <c r="B18" s="9" t="inlineStr">
        <is>
          <t>Standard equipment financing with fixed monthly payments. Interest calculated on declining balance.</t>
        </is>
      </c>
    </row>
    <row r="19">
      <c r="A19" t="inlineStr">
        <is>
          <t>Source Document:</t>
        </is>
      </c>
      <c r="B19" s="9" t="inlineStr">
        <is>
          <t>Meiborg_Debt_Schedule_202512.xlsx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21" t="n">
        <v>1</v>
      </c>
      <c r="B23" s="33" t="n">
        <v>46023</v>
      </c>
      <c r="C23" s="13">
        <f>$B$6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21" t="n">
        <v>2</v>
      </c>
      <c r="B24" s="33" t="n">
        <v>46054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21" t="n">
        <v>3</v>
      </c>
      <c r="B25" s="33" t="n">
        <v>46082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21" t="n">
        <v>4</v>
      </c>
      <c r="B26" s="33" t="n">
        <v>46113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21" t="n">
        <v>5</v>
      </c>
      <c r="B27" s="33" t="n">
        <v>46143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21" t="n">
        <v>6</v>
      </c>
      <c r="B28" s="33" t="n">
        <v>46174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21" t="n">
        <v>7</v>
      </c>
      <c r="B29" s="33" t="n">
        <v>46204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21" t="n">
        <v>8</v>
      </c>
      <c r="B30" s="33" t="n">
        <v>46235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21" t="n">
        <v>9</v>
      </c>
      <c r="B31" s="33" t="n">
        <v>46266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21" t="n">
        <v>10</v>
      </c>
      <c r="B32" s="33" t="n">
        <v>46296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21" t="n">
        <v>11</v>
      </c>
      <c r="B33" s="33" t="n">
        <v>46327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4">
      <c r="A34" s="21" t="n">
        <v>12</v>
      </c>
      <c r="B34" s="33" t="n">
        <v>46357</v>
      </c>
      <c r="C34" s="13">
        <f>F33</f>
        <v/>
      </c>
      <c r="D34" s="13">
        <f>MAX(0,C34*$B$7/12)</f>
        <v/>
      </c>
      <c r="E34" s="13">
        <f>MAX(0,MIN(C34,$B$8-D34))</f>
        <v/>
      </c>
      <c r="F34" s="13">
        <f>MAX(0,C34-E34)</f>
        <v/>
      </c>
    </row>
    <row r="35">
      <c r="A35" s="21" t="n">
        <v>13</v>
      </c>
      <c r="B35" s="33" t="n">
        <v>46388</v>
      </c>
      <c r="C35" s="13">
        <f>F34</f>
        <v/>
      </c>
      <c r="D35" s="13">
        <f>MAX(0,C35*$B$7/12)</f>
        <v/>
      </c>
      <c r="E35" s="13">
        <f>MAX(0,MIN(C35,$B$8-D35))</f>
        <v/>
      </c>
      <c r="F35" s="13">
        <f>MAX(0,C35-E35)</f>
        <v/>
      </c>
    </row>
    <row r="36">
      <c r="A36" s="21" t="n">
        <v>14</v>
      </c>
      <c r="B36" s="33" t="n">
        <v>46419</v>
      </c>
      <c r="C36" s="13">
        <f>F35</f>
        <v/>
      </c>
      <c r="D36" s="13">
        <f>MAX(0,C36*$B$7/12)</f>
        <v/>
      </c>
      <c r="E36" s="13">
        <f>MAX(0,MIN(C36,$B$8-D36))</f>
        <v/>
      </c>
      <c r="F36" s="13">
        <f>MAX(0,C36-E36)</f>
        <v/>
      </c>
    </row>
    <row r="37">
      <c r="A37" s="21" t="n">
        <v>15</v>
      </c>
      <c r="B37" s="33" t="n">
        <v>46447</v>
      </c>
      <c r="C37" s="13">
        <f>F36</f>
        <v/>
      </c>
      <c r="D37" s="13">
        <f>MAX(0,C37*$B$7/12)</f>
        <v/>
      </c>
      <c r="E37" s="13">
        <f>MAX(0,MIN(C37,$B$8-D37))</f>
        <v/>
      </c>
      <c r="F37" s="13">
        <f>MAX(0,C37-E37)</f>
        <v/>
      </c>
    </row>
    <row r="38">
      <c r="A38" s="21" t="n">
        <v>16</v>
      </c>
      <c r="B38" s="33" t="n">
        <v>46478</v>
      </c>
      <c r="C38" s="13">
        <f>F37</f>
        <v/>
      </c>
      <c r="D38" s="13">
        <f>MAX(0,C38*$B$7/12)</f>
        <v/>
      </c>
      <c r="E38" s="13">
        <f>MAX(0,MIN(C38,$B$8-D38))</f>
        <v/>
      </c>
      <c r="F38" s="13">
        <f>MAX(0,C38-E38)</f>
        <v/>
      </c>
    </row>
    <row r="39">
      <c r="A39" s="21" t="n">
        <v>17</v>
      </c>
      <c r="B39" s="33" t="n">
        <v>46508</v>
      </c>
      <c r="C39" s="13">
        <f>F38</f>
        <v/>
      </c>
      <c r="D39" s="13">
        <f>MAX(0,C39*$B$7/12)</f>
        <v/>
      </c>
      <c r="E39" s="13">
        <f>MAX(0,MIN(C39,$B$8-D39))</f>
        <v/>
      </c>
      <c r="F39" s="13">
        <f>MAX(0,C39-E39)</f>
        <v/>
      </c>
    </row>
    <row r="40">
      <c r="A40" s="21" t="n">
        <v>18</v>
      </c>
      <c r="B40" s="33" t="n">
        <v>46539</v>
      </c>
      <c r="C40" s="13">
        <f>F39</f>
        <v/>
      </c>
      <c r="D40" s="13">
        <f>MAX(0,C40*$B$7/12)</f>
        <v/>
      </c>
      <c r="E40" s="13">
        <f>MAX(0,MIN(C40,$B$8-D40))</f>
        <v/>
      </c>
      <c r="F40" s="13">
        <f>MAX(0,C40-E40)</f>
        <v/>
      </c>
    </row>
    <row r="41">
      <c r="A41" s="21" t="n">
        <v>19</v>
      </c>
      <c r="B41" s="33" t="n">
        <v>46569</v>
      </c>
      <c r="C41" s="13">
        <f>F40</f>
        <v/>
      </c>
      <c r="D41" s="13">
        <f>MAX(0,C41*$B$7/12)</f>
        <v/>
      </c>
      <c r="E41" s="13">
        <f>MAX(0,MIN(C41,$B$8-D41))</f>
        <v/>
      </c>
      <c r="F41" s="13">
        <f>MAX(0,C41-E41)</f>
        <v/>
      </c>
    </row>
    <row r="42">
      <c r="A42" s="21" t="n">
        <v>20</v>
      </c>
      <c r="B42" s="33" t="n">
        <v>46600</v>
      </c>
      <c r="C42" s="13">
        <f>F41</f>
        <v/>
      </c>
      <c r="D42" s="13">
        <f>MAX(0,C42*$B$7/12)</f>
        <v/>
      </c>
      <c r="E42" s="13">
        <f>MAX(0,MIN(C42,$B$8-D42))</f>
        <v/>
      </c>
      <c r="F42" s="13">
        <f>MAX(0,C42-E42)</f>
        <v/>
      </c>
    </row>
    <row r="43">
      <c r="A43" s="21" t="n">
        <v>21</v>
      </c>
      <c r="B43" s="33" t="n">
        <v>46631</v>
      </c>
      <c r="C43" s="13">
        <f>F42</f>
        <v/>
      </c>
      <c r="D43" s="13">
        <f>MAX(0,C43*$B$7/12)</f>
        <v/>
      </c>
      <c r="E43" s="13">
        <f>MAX(0,MIN(C43,$B$8-D43))</f>
        <v/>
      </c>
      <c r="F43" s="13">
        <f>MAX(0,C43-E43)</f>
        <v/>
      </c>
    </row>
    <row r="44">
      <c r="A44" s="21" t="n">
        <v>22</v>
      </c>
      <c r="B44" s="33" t="n">
        <v>46661</v>
      </c>
      <c r="C44" s="13">
        <f>F43</f>
        <v/>
      </c>
      <c r="D44" s="13">
        <f>MAX(0,C44*$B$7/12)</f>
        <v/>
      </c>
      <c r="E44" s="13">
        <f>MAX(0,MIN(C44,$B$8-D44))</f>
        <v/>
      </c>
      <c r="F44" s="13">
        <f>MAX(0,C44-E44)</f>
        <v/>
      </c>
    </row>
    <row r="47">
      <c r="A47" s="2" t="inlineStr">
        <is>
          <t>ANNUAL SUMMARY</t>
        </is>
      </c>
    </row>
    <row r="48">
      <c r="A48" s="30" t="inlineStr">
        <is>
          <t>Year</t>
        </is>
      </c>
      <c r="B48" s="30" t="inlineStr"/>
      <c r="C48" s="30" t="inlineStr">
        <is>
          <t>Opening</t>
        </is>
      </c>
      <c r="D48" s="30" t="inlineStr">
        <is>
          <t>Interest</t>
        </is>
      </c>
      <c r="E48" s="30" t="inlineStr">
        <is>
          <t>Principal</t>
        </is>
      </c>
      <c r="F48" s="30" t="inlineStr">
        <is>
          <t>Closing</t>
        </is>
      </c>
    </row>
    <row r="49">
      <c r="A49" s="21" t="n">
        <v>2026</v>
      </c>
      <c r="C49" s="13">
        <f>C23</f>
        <v/>
      </c>
      <c r="D49" s="13">
        <f>SUM(D23:D34)</f>
        <v/>
      </c>
      <c r="E49" s="13">
        <f>SUM(E23:E34)</f>
        <v/>
      </c>
      <c r="F49" s="13">
        <f>F34</f>
        <v/>
      </c>
    </row>
    <row r="50">
      <c r="A50" s="21" t="n">
        <v>2027</v>
      </c>
      <c r="C50" s="13">
        <f>C35</f>
        <v/>
      </c>
      <c r="D50" s="13">
        <f>SUM(D35:D44)</f>
        <v/>
      </c>
      <c r="E50" s="13">
        <f>SUM(E35:E44)</f>
        <v/>
      </c>
      <c r="F50" s="13">
        <f>F44</f>
        <v/>
      </c>
    </row>
    <row r="53">
      <c r="A53" s="1" t="inlineStr">
        <is>
          <t>CURRENT BALANCE (for DS link):</t>
        </is>
      </c>
      <c r="B53" s="31">
        <f>F34</f>
        <v/>
      </c>
    </row>
  </sheetData>
  <mergeCells count="4">
    <mergeCell ref="A1:F1"/>
    <mergeCell ref="B18:F18"/>
    <mergeCell ref="A12:F12"/>
    <mergeCell ref="A47:F47"/>
  </mergeCells>
  <pageMargins left="0.75" right="0.75" top="1" bottom="1" header="0.5" footer="0.5"/>
  <legacyDrawing xmlns:r="http://schemas.openxmlformats.org/officeDocument/2006/relationships" r:id="anysvml"/>
</worksheet>
</file>

<file path=xl/worksheets/sheet21.xml><?xml version="1.0" encoding="utf-8"?>
<worksheet xmlns="http://schemas.openxmlformats.org/spreadsheetml/2006/main">
  <sheetPr>
    <tabColor rgb="00808080"/>
    <outlinePr summaryBelow="1" summaryRight="1"/>
    <pageSetUpPr/>
  </sheetPr>
  <dimension ref="A1:F53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PACCAR FINANCIAL - LOAN #9</t>
        </is>
      </c>
    </row>
    <row r="2">
      <c r="A2" t="inlineStr">
        <is>
          <t>Description:</t>
        </is>
      </c>
      <c r="B2" s="4" t="inlineStr">
        <is>
          <t>2 T680</t>
        </is>
      </c>
    </row>
    <row r="3">
      <c r="A3" t="inlineStr">
        <is>
          <t>Loan ID:</t>
        </is>
      </c>
      <c r="B3" t="inlineStr">
        <is>
          <t>05-2959-006-000-00</t>
        </is>
      </c>
    </row>
    <row r="4">
      <c r="A4" t="inlineStr">
        <is>
          <t>Loan Number:</t>
        </is>
      </c>
      <c r="B4" t="inlineStr">
        <is>
          <t>7301260</t>
        </is>
      </c>
    </row>
    <row r="5">
      <c r="A5" t="inlineStr">
        <is>
          <t>Collateral:</t>
        </is>
      </c>
      <c r="B5" t="inlineStr">
        <is>
          <t>Equipment - Semi Trucks</t>
        </is>
      </c>
    </row>
    <row r="6">
      <c r="A6" t="inlineStr">
        <is>
          <t>Opening Balance (12/31/25):</t>
        </is>
      </c>
      <c r="B6" s="26" t="n">
        <v>95580</v>
      </c>
    </row>
    <row r="7">
      <c r="A7" t="inlineStr">
        <is>
          <t>Annual Interest Rate:</t>
        </is>
      </c>
      <c r="B7" s="6" t="n">
        <v>0.0279</v>
      </c>
    </row>
    <row r="8">
      <c r="A8" t="inlineStr">
        <is>
          <t>Monthly Payment:</t>
        </is>
      </c>
      <c r="B8" s="26" t="n">
        <v>4701</v>
      </c>
    </row>
    <row r="9">
      <c r="A9" t="inlineStr">
        <is>
          <t>Origination Date:</t>
        </is>
      </c>
      <c r="B9" s="32" t="n">
        <v>44537</v>
      </c>
    </row>
    <row r="10">
      <c r="A10" t="inlineStr">
        <is>
          <t>Maturity Date:</t>
        </is>
      </c>
      <c r="B10" s="32" t="n">
        <v>46651</v>
      </c>
    </row>
    <row r="12">
      <c r="A12" s="8" t="inlineStr">
        <is>
          <t>AI ANALYSIS</t>
        </is>
      </c>
    </row>
    <row r="13">
      <c r="A13" t="inlineStr">
        <is>
          <t>Loan Type:</t>
        </is>
      </c>
      <c r="B13" s="9" t="inlineStr">
        <is>
          <t>AMORTIZING</t>
        </is>
      </c>
    </row>
    <row r="14">
      <c r="A14" t="inlineStr">
        <is>
          <t>Lender:</t>
        </is>
      </c>
      <c r="B14" s="9" t="inlineStr">
        <is>
          <t>Paccar Financial</t>
        </is>
      </c>
    </row>
    <row r="15">
      <c r="A15" t="inlineStr">
        <is>
          <t>Equipment Type:</t>
        </is>
      </c>
      <c r="B15" s="9" t="inlineStr">
        <is>
          <t>Semi Trucks (Kenworth/Peterbilt)</t>
        </is>
      </c>
    </row>
    <row r="16">
      <c r="A16" t="inlineStr">
        <is>
          <t>Original Balance:</t>
        </is>
      </c>
      <c r="B16" s="28" t="n">
        <v>283750</v>
      </c>
    </row>
    <row r="17">
      <c r="A17" t="inlineStr">
        <is>
          <t>Months Remaining (from 1/1/26):</t>
        </is>
      </c>
      <c r="B17" s="9" t="n">
        <v>20</v>
      </c>
    </row>
    <row r="18">
      <c r="A18" t="inlineStr">
        <is>
          <t>Amortization Notes:</t>
        </is>
      </c>
      <c r="B18" s="9" t="inlineStr">
        <is>
          <t>Standard equipment financing with fixed monthly payments. Interest calculated on declining balance.</t>
        </is>
      </c>
    </row>
    <row r="19">
      <c r="A19" t="inlineStr">
        <is>
          <t>Source Document:</t>
        </is>
      </c>
      <c r="B19" s="9" t="inlineStr">
        <is>
          <t>Meiborg_Debt_Schedule_202512.xlsx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21" t="n">
        <v>1</v>
      </c>
      <c r="B23" s="33" t="n">
        <v>46023</v>
      </c>
      <c r="C23" s="13">
        <f>$B$6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21" t="n">
        <v>2</v>
      </c>
      <c r="B24" s="33" t="n">
        <v>46054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21" t="n">
        <v>3</v>
      </c>
      <c r="B25" s="33" t="n">
        <v>46082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21" t="n">
        <v>4</v>
      </c>
      <c r="B26" s="33" t="n">
        <v>46113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21" t="n">
        <v>5</v>
      </c>
      <c r="B27" s="33" t="n">
        <v>46143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21" t="n">
        <v>6</v>
      </c>
      <c r="B28" s="33" t="n">
        <v>46174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21" t="n">
        <v>7</v>
      </c>
      <c r="B29" s="33" t="n">
        <v>46204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21" t="n">
        <v>8</v>
      </c>
      <c r="B30" s="33" t="n">
        <v>46235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21" t="n">
        <v>9</v>
      </c>
      <c r="B31" s="33" t="n">
        <v>46266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21" t="n">
        <v>10</v>
      </c>
      <c r="B32" s="33" t="n">
        <v>46296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21" t="n">
        <v>11</v>
      </c>
      <c r="B33" s="33" t="n">
        <v>46327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4">
      <c r="A34" s="21" t="n">
        <v>12</v>
      </c>
      <c r="B34" s="33" t="n">
        <v>46357</v>
      </c>
      <c r="C34" s="13">
        <f>F33</f>
        <v/>
      </c>
      <c r="D34" s="13">
        <f>MAX(0,C34*$B$7/12)</f>
        <v/>
      </c>
      <c r="E34" s="13">
        <f>MAX(0,MIN(C34,$B$8-D34))</f>
        <v/>
      </c>
      <c r="F34" s="13">
        <f>MAX(0,C34-E34)</f>
        <v/>
      </c>
    </row>
    <row r="35">
      <c r="A35" s="21" t="n">
        <v>13</v>
      </c>
      <c r="B35" s="33" t="n">
        <v>46388</v>
      </c>
      <c r="C35" s="13">
        <f>F34</f>
        <v/>
      </c>
      <c r="D35" s="13">
        <f>MAX(0,C35*$B$7/12)</f>
        <v/>
      </c>
      <c r="E35" s="13">
        <f>MAX(0,MIN(C35,$B$8-D35))</f>
        <v/>
      </c>
      <c r="F35" s="13">
        <f>MAX(0,C35-E35)</f>
        <v/>
      </c>
    </row>
    <row r="36">
      <c r="A36" s="21" t="n">
        <v>14</v>
      </c>
      <c r="B36" s="33" t="n">
        <v>46419</v>
      </c>
      <c r="C36" s="13">
        <f>F35</f>
        <v/>
      </c>
      <c r="D36" s="13">
        <f>MAX(0,C36*$B$7/12)</f>
        <v/>
      </c>
      <c r="E36" s="13">
        <f>MAX(0,MIN(C36,$B$8-D36))</f>
        <v/>
      </c>
      <c r="F36" s="13">
        <f>MAX(0,C36-E36)</f>
        <v/>
      </c>
    </row>
    <row r="37">
      <c r="A37" s="21" t="n">
        <v>15</v>
      </c>
      <c r="B37" s="33" t="n">
        <v>46447</v>
      </c>
      <c r="C37" s="13">
        <f>F36</f>
        <v/>
      </c>
      <c r="D37" s="13">
        <f>MAX(0,C37*$B$7/12)</f>
        <v/>
      </c>
      <c r="E37" s="13">
        <f>MAX(0,MIN(C37,$B$8-D37))</f>
        <v/>
      </c>
      <c r="F37" s="13">
        <f>MAX(0,C37-E37)</f>
        <v/>
      </c>
    </row>
    <row r="38">
      <c r="A38" s="21" t="n">
        <v>16</v>
      </c>
      <c r="B38" s="33" t="n">
        <v>46478</v>
      </c>
      <c r="C38" s="13">
        <f>F37</f>
        <v/>
      </c>
      <c r="D38" s="13">
        <f>MAX(0,C38*$B$7/12)</f>
        <v/>
      </c>
      <c r="E38" s="13">
        <f>MAX(0,MIN(C38,$B$8-D38))</f>
        <v/>
      </c>
      <c r="F38" s="13">
        <f>MAX(0,C38-E38)</f>
        <v/>
      </c>
    </row>
    <row r="39">
      <c r="A39" s="21" t="n">
        <v>17</v>
      </c>
      <c r="B39" s="33" t="n">
        <v>46508</v>
      </c>
      <c r="C39" s="13">
        <f>F38</f>
        <v/>
      </c>
      <c r="D39" s="13">
        <f>MAX(0,C39*$B$7/12)</f>
        <v/>
      </c>
      <c r="E39" s="13">
        <f>MAX(0,MIN(C39,$B$8-D39))</f>
        <v/>
      </c>
      <c r="F39" s="13">
        <f>MAX(0,C39-E39)</f>
        <v/>
      </c>
    </row>
    <row r="40">
      <c r="A40" s="21" t="n">
        <v>18</v>
      </c>
      <c r="B40" s="33" t="n">
        <v>46539</v>
      </c>
      <c r="C40" s="13">
        <f>F39</f>
        <v/>
      </c>
      <c r="D40" s="13">
        <f>MAX(0,C40*$B$7/12)</f>
        <v/>
      </c>
      <c r="E40" s="13">
        <f>MAX(0,MIN(C40,$B$8-D40))</f>
        <v/>
      </c>
      <c r="F40" s="13">
        <f>MAX(0,C40-E40)</f>
        <v/>
      </c>
    </row>
    <row r="41">
      <c r="A41" s="21" t="n">
        <v>19</v>
      </c>
      <c r="B41" s="33" t="n">
        <v>46569</v>
      </c>
      <c r="C41" s="13">
        <f>F40</f>
        <v/>
      </c>
      <c r="D41" s="13">
        <f>MAX(0,C41*$B$7/12)</f>
        <v/>
      </c>
      <c r="E41" s="13">
        <f>MAX(0,MIN(C41,$B$8-D41))</f>
        <v/>
      </c>
      <c r="F41" s="13">
        <f>MAX(0,C41-E41)</f>
        <v/>
      </c>
    </row>
    <row r="42">
      <c r="A42" s="21" t="n">
        <v>20</v>
      </c>
      <c r="B42" s="33" t="n">
        <v>46600</v>
      </c>
      <c r="C42" s="13">
        <f>F41</f>
        <v/>
      </c>
      <c r="D42" s="13">
        <f>MAX(0,C42*$B$7/12)</f>
        <v/>
      </c>
      <c r="E42" s="13">
        <f>MAX(0,MIN(C42,$B$8-D42))</f>
        <v/>
      </c>
      <c r="F42" s="13">
        <f>MAX(0,C42-E42)</f>
        <v/>
      </c>
    </row>
    <row r="43">
      <c r="A43" s="21" t="n">
        <v>21</v>
      </c>
      <c r="B43" s="33" t="n">
        <v>46631</v>
      </c>
      <c r="C43" s="13">
        <f>F42</f>
        <v/>
      </c>
      <c r="D43" s="13">
        <f>MAX(0,C43*$B$7/12)</f>
        <v/>
      </c>
      <c r="E43" s="13">
        <f>MAX(0,MIN(C43,$B$8-D43))</f>
        <v/>
      </c>
      <c r="F43" s="13">
        <f>MAX(0,C43-E43)</f>
        <v/>
      </c>
    </row>
    <row r="44">
      <c r="A44" s="21" t="n">
        <v>22</v>
      </c>
      <c r="B44" s="33" t="n">
        <v>46661</v>
      </c>
      <c r="C44" s="13">
        <f>F43</f>
        <v/>
      </c>
      <c r="D44" s="13">
        <f>MAX(0,C44*$B$7/12)</f>
        <v/>
      </c>
      <c r="E44" s="13">
        <f>MAX(0,MIN(C44,$B$8-D44))</f>
        <v/>
      </c>
      <c r="F44" s="13">
        <f>MAX(0,C44-E44)</f>
        <v/>
      </c>
    </row>
    <row r="47">
      <c r="A47" s="2" t="inlineStr">
        <is>
          <t>ANNUAL SUMMARY</t>
        </is>
      </c>
    </row>
    <row r="48">
      <c r="A48" s="30" t="inlineStr">
        <is>
          <t>Year</t>
        </is>
      </c>
      <c r="B48" s="30" t="inlineStr"/>
      <c r="C48" s="30" t="inlineStr">
        <is>
          <t>Opening</t>
        </is>
      </c>
      <c r="D48" s="30" t="inlineStr">
        <is>
          <t>Interest</t>
        </is>
      </c>
      <c r="E48" s="30" t="inlineStr">
        <is>
          <t>Principal</t>
        </is>
      </c>
      <c r="F48" s="30" t="inlineStr">
        <is>
          <t>Closing</t>
        </is>
      </c>
    </row>
    <row r="49">
      <c r="A49" s="21" t="n">
        <v>2026</v>
      </c>
      <c r="C49" s="13">
        <f>C23</f>
        <v/>
      </c>
      <c r="D49" s="13">
        <f>SUM(D23:D34)</f>
        <v/>
      </c>
      <c r="E49" s="13">
        <f>SUM(E23:E34)</f>
        <v/>
      </c>
      <c r="F49" s="13">
        <f>F34</f>
        <v/>
      </c>
    </row>
    <row r="50">
      <c r="A50" s="21" t="n">
        <v>2027</v>
      </c>
      <c r="C50" s="13">
        <f>C35</f>
        <v/>
      </c>
      <c r="D50" s="13">
        <f>SUM(D35:D44)</f>
        <v/>
      </c>
      <c r="E50" s="13">
        <f>SUM(E35:E44)</f>
        <v/>
      </c>
      <c r="F50" s="13">
        <f>F44</f>
        <v/>
      </c>
    </row>
    <row r="53">
      <c r="A53" s="1" t="inlineStr">
        <is>
          <t>CURRENT BALANCE (for DS link):</t>
        </is>
      </c>
      <c r="B53" s="31">
        <f>F34</f>
        <v/>
      </c>
    </row>
  </sheetData>
  <mergeCells count="4">
    <mergeCell ref="A1:F1"/>
    <mergeCell ref="B18:F18"/>
    <mergeCell ref="A12:F12"/>
    <mergeCell ref="A47:F47"/>
  </mergeCells>
  <pageMargins left="0.75" right="0.75" top="1" bottom="1" header="0.5" footer="0.5"/>
  <legacyDrawing xmlns:r="http://schemas.openxmlformats.org/officeDocument/2006/relationships" r:id="anysvml"/>
</worksheet>
</file>

<file path=xl/worksheets/sheet22.xml><?xml version="1.0" encoding="utf-8"?>
<worksheet xmlns="http://schemas.openxmlformats.org/spreadsheetml/2006/main">
  <sheetPr>
    <tabColor rgb="00808080"/>
    <outlinePr summaryBelow="1" summaryRight="1"/>
    <pageSetUpPr/>
  </sheetPr>
  <dimension ref="A1:F54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PACCAR FINANCIAL - LOAN #10</t>
        </is>
      </c>
    </row>
    <row r="2">
      <c r="A2" t="inlineStr">
        <is>
          <t>Description:</t>
        </is>
      </c>
      <c r="B2" s="4" t="inlineStr">
        <is>
          <t>1 T680</t>
        </is>
      </c>
    </row>
    <row r="3">
      <c r="A3" t="inlineStr">
        <is>
          <t>Loan ID:</t>
        </is>
      </c>
      <c r="B3" t="inlineStr">
        <is>
          <t>05-2959-007-000-00</t>
        </is>
      </c>
    </row>
    <row r="4">
      <c r="A4" t="inlineStr">
        <is>
          <t>Loan Number:</t>
        </is>
      </c>
      <c r="B4" t="inlineStr">
        <is>
          <t>7306111</t>
        </is>
      </c>
    </row>
    <row r="5">
      <c r="A5" t="inlineStr">
        <is>
          <t>Collateral:</t>
        </is>
      </c>
      <c r="B5" t="inlineStr">
        <is>
          <t>Equipment - Semi Trucks</t>
        </is>
      </c>
    </row>
    <row r="6">
      <c r="A6" t="inlineStr">
        <is>
          <t>Opening Balance (12/31/25):</t>
        </is>
      </c>
      <c r="B6" s="26" t="n">
        <v>50384</v>
      </c>
    </row>
    <row r="7">
      <c r="A7" t="inlineStr">
        <is>
          <t>Annual Interest Rate:</t>
        </is>
      </c>
      <c r="B7" s="6" t="n">
        <v>0.0279</v>
      </c>
    </row>
    <row r="8">
      <c r="A8" t="inlineStr">
        <is>
          <t>Monthly Payment:</t>
        </is>
      </c>
      <c r="B8" s="26" t="n">
        <v>2383</v>
      </c>
    </row>
    <row r="9">
      <c r="A9" t="inlineStr">
        <is>
          <t>Origination Date:</t>
        </is>
      </c>
      <c r="B9" s="32" t="n">
        <v>44558</v>
      </c>
    </row>
    <row r="10">
      <c r="A10" t="inlineStr">
        <is>
          <t>Maturity Date:</t>
        </is>
      </c>
      <c r="B10" s="32" t="n">
        <v>46670</v>
      </c>
    </row>
    <row r="12">
      <c r="A12" s="8" t="inlineStr">
        <is>
          <t>AI ANALYSIS</t>
        </is>
      </c>
    </row>
    <row r="13">
      <c r="A13" t="inlineStr">
        <is>
          <t>Loan Type:</t>
        </is>
      </c>
      <c r="B13" s="9" t="inlineStr">
        <is>
          <t>AMORTIZING</t>
        </is>
      </c>
    </row>
    <row r="14">
      <c r="A14" t="inlineStr">
        <is>
          <t>Lender:</t>
        </is>
      </c>
      <c r="B14" s="9" t="inlineStr">
        <is>
          <t>Paccar Financial</t>
        </is>
      </c>
    </row>
    <row r="15">
      <c r="A15" t="inlineStr">
        <is>
          <t>Equipment Type:</t>
        </is>
      </c>
      <c r="B15" s="9" t="inlineStr">
        <is>
          <t>Semi Trucks (Kenworth/Peterbilt)</t>
        </is>
      </c>
    </row>
    <row r="16">
      <c r="A16" t="inlineStr">
        <is>
          <t>Original Balance:</t>
        </is>
      </c>
      <c r="B16" s="28" t="n">
        <v>143250</v>
      </c>
    </row>
    <row r="17">
      <c r="A17" t="inlineStr">
        <is>
          <t>Months Remaining (from 1/1/26):</t>
        </is>
      </c>
      <c r="B17" s="9" t="n">
        <v>21</v>
      </c>
    </row>
    <row r="18">
      <c r="A18" t="inlineStr">
        <is>
          <t>Amortization Notes:</t>
        </is>
      </c>
      <c r="B18" s="9" t="inlineStr">
        <is>
          <t>Standard equipment financing with fixed monthly payments. Interest calculated on declining balance.</t>
        </is>
      </c>
    </row>
    <row r="19">
      <c r="A19" t="inlineStr">
        <is>
          <t>Source Document:</t>
        </is>
      </c>
      <c r="B19" s="9" t="inlineStr">
        <is>
          <t>Meiborg_Debt_Schedule_202512.xlsx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21" t="n">
        <v>1</v>
      </c>
      <c r="B23" s="33" t="n">
        <v>46023</v>
      </c>
      <c r="C23" s="13">
        <f>$B$6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21" t="n">
        <v>2</v>
      </c>
      <c r="B24" s="33" t="n">
        <v>46054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21" t="n">
        <v>3</v>
      </c>
      <c r="B25" s="33" t="n">
        <v>46082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21" t="n">
        <v>4</v>
      </c>
      <c r="B26" s="33" t="n">
        <v>46113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21" t="n">
        <v>5</v>
      </c>
      <c r="B27" s="33" t="n">
        <v>46143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21" t="n">
        <v>6</v>
      </c>
      <c r="B28" s="33" t="n">
        <v>46174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21" t="n">
        <v>7</v>
      </c>
      <c r="B29" s="33" t="n">
        <v>46204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21" t="n">
        <v>8</v>
      </c>
      <c r="B30" s="33" t="n">
        <v>46235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21" t="n">
        <v>9</v>
      </c>
      <c r="B31" s="33" t="n">
        <v>46266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21" t="n">
        <v>10</v>
      </c>
      <c r="B32" s="33" t="n">
        <v>46296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21" t="n">
        <v>11</v>
      </c>
      <c r="B33" s="33" t="n">
        <v>46327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4">
      <c r="A34" s="21" t="n">
        <v>12</v>
      </c>
      <c r="B34" s="33" t="n">
        <v>46357</v>
      </c>
      <c r="C34" s="13">
        <f>F33</f>
        <v/>
      </c>
      <c r="D34" s="13">
        <f>MAX(0,C34*$B$7/12)</f>
        <v/>
      </c>
      <c r="E34" s="13">
        <f>MAX(0,MIN(C34,$B$8-D34))</f>
        <v/>
      </c>
      <c r="F34" s="13">
        <f>MAX(0,C34-E34)</f>
        <v/>
      </c>
    </row>
    <row r="35">
      <c r="A35" s="21" t="n">
        <v>13</v>
      </c>
      <c r="B35" s="33" t="n">
        <v>46388</v>
      </c>
      <c r="C35" s="13">
        <f>F34</f>
        <v/>
      </c>
      <c r="D35" s="13">
        <f>MAX(0,C35*$B$7/12)</f>
        <v/>
      </c>
      <c r="E35" s="13">
        <f>MAX(0,MIN(C35,$B$8-D35))</f>
        <v/>
      </c>
      <c r="F35" s="13">
        <f>MAX(0,C35-E35)</f>
        <v/>
      </c>
    </row>
    <row r="36">
      <c r="A36" s="21" t="n">
        <v>14</v>
      </c>
      <c r="B36" s="33" t="n">
        <v>46419</v>
      </c>
      <c r="C36" s="13">
        <f>F35</f>
        <v/>
      </c>
      <c r="D36" s="13">
        <f>MAX(0,C36*$B$7/12)</f>
        <v/>
      </c>
      <c r="E36" s="13">
        <f>MAX(0,MIN(C36,$B$8-D36))</f>
        <v/>
      </c>
      <c r="F36" s="13">
        <f>MAX(0,C36-E36)</f>
        <v/>
      </c>
    </row>
    <row r="37">
      <c r="A37" s="21" t="n">
        <v>15</v>
      </c>
      <c r="B37" s="33" t="n">
        <v>46447</v>
      </c>
      <c r="C37" s="13">
        <f>F36</f>
        <v/>
      </c>
      <c r="D37" s="13">
        <f>MAX(0,C37*$B$7/12)</f>
        <v/>
      </c>
      <c r="E37" s="13">
        <f>MAX(0,MIN(C37,$B$8-D37))</f>
        <v/>
      </c>
      <c r="F37" s="13">
        <f>MAX(0,C37-E37)</f>
        <v/>
      </c>
    </row>
    <row r="38">
      <c r="A38" s="21" t="n">
        <v>16</v>
      </c>
      <c r="B38" s="33" t="n">
        <v>46478</v>
      </c>
      <c r="C38" s="13">
        <f>F37</f>
        <v/>
      </c>
      <c r="D38" s="13">
        <f>MAX(0,C38*$B$7/12)</f>
        <v/>
      </c>
      <c r="E38" s="13">
        <f>MAX(0,MIN(C38,$B$8-D38))</f>
        <v/>
      </c>
      <c r="F38" s="13">
        <f>MAX(0,C38-E38)</f>
        <v/>
      </c>
    </row>
    <row r="39">
      <c r="A39" s="21" t="n">
        <v>17</v>
      </c>
      <c r="B39" s="33" t="n">
        <v>46508</v>
      </c>
      <c r="C39" s="13">
        <f>F38</f>
        <v/>
      </c>
      <c r="D39" s="13">
        <f>MAX(0,C39*$B$7/12)</f>
        <v/>
      </c>
      <c r="E39" s="13">
        <f>MAX(0,MIN(C39,$B$8-D39))</f>
        <v/>
      </c>
      <c r="F39" s="13">
        <f>MAX(0,C39-E39)</f>
        <v/>
      </c>
    </row>
    <row r="40">
      <c r="A40" s="21" t="n">
        <v>18</v>
      </c>
      <c r="B40" s="33" t="n">
        <v>46539</v>
      </c>
      <c r="C40" s="13">
        <f>F39</f>
        <v/>
      </c>
      <c r="D40" s="13">
        <f>MAX(0,C40*$B$7/12)</f>
        <v/>
      </c>
      <c r="E40" s="13">
        <f>MAX(0,MIN(C40,$B$8-D40))</f>
        <v/>
      </c>
      <c r="F40" s="13">
        <f>MAX(0,C40-E40)</f>
        <v/>
      </c>
    </row>
    <row r="41">
      <c r="A41" s="21" t="n">
        <v>19</v>
      </c>
      <c r="B41" s="33" t="n">
        <v>46569</v>
      </c>
      <c r="C41" s="13">
        <f>F40</f>
        <v/>
      </c>
      <c r="D41" s="13">
        <f>MAX(0,C41*$B$7/12)</f>
        <v/>
      </c>
      <c r="E41" s="13">
        <f>MAX(0,MIN(C41,$B$8-D41))</f>
        <v/>
      </c>
      <c r="F41" s="13">
        <f>MAX(0,C41-E41)</f>
        <v/>
      </c>
    </row>
    <row r="42">
      <c r="A42" s="21" t="n">
        <v>20</v>
      </c>
      <c r="B42" s="33" t="n">
        <v>46600</v>
      </c>
      <c r="C42" s="13">
        <f>F41</f>
        <v/>
      </c>
      <c r="D42" s="13">
        <f>MAX(0,C42*$B$7/12)</f>
        <v/>
      </c>
      <c r="E42" s="13">
        <f>MAX(0,MIN(C42,$B$8-D42))</f>
        <v/>
      </c>
      <c r="F42" s="13">
        <f>MAX(0,C42-E42)</f>
        <v/>
      </c>
    </row>
    <row r="43">
      <c r="A43" s="21" t="n">
        <v>21</v>
      </c>
      <c r="B43" s="33" t="n">
        <v>46631</v>
      </c>
      <c r="C43" s="13">
        <f>F42</f>
        <v/>
      </c>
      <c r="D43" s="13">
        <f>MAX(0,C43*$B$7/12)</f>
        <v/>
      </c>
      <c r="E43" s="13">
        <f>MAX(0,MIN(C43,$B$8-D43))</f>
        <v/>
      </c>
      <c r="F43" s="13">
        <f>MAX(0,C43-E43)</f>
        <v/>
      </c>
    </row>
    <row r="44">
      <c r="A44" s="21" t="n">
        <v>22</v>
      </c>
      <c r="B44" s="33" t="n">
        <v>46661</v>
      </c>
      <c r="C44" s="13">
        <f>F43</f>
        <v/>
      </c>
      <c r="D44" s="13">
        <f>MAX(0,C44*$B$7/12)</f>
        <v/>
      </c>
      <c r="E44" s="13">
        <f>MAX(0,MIN(C44,$B$8-D44))</f>
        <v/>
      </c>
      <c r="F44" s="13">
        <f>MAX(0,C44-E44)</f>
        <v/>
      </c>
    </row>
    <row r="45">
      <c r="A45" s="21" t="n">
        <v>23</v>
      </c>
      <c r="B45" s="33" t="n">
        <v>46692</v>
      </c>
      <c r="C45" s="13">
        <f>F44</f>
        <v/>
      </c>
      <c r="D45" s="13">
        <f>MAX(0,C45*$B$7/12)</f>
        <v/>
      </c>
      <c r="E45" s="13">
        <f>MAX(0,MIN(C45,$B$8-D45))</f>
        <v/>
      </c>
      <c r="F45" s="13">
        <f>MAX(0,C45-E45)</f>
        <v/>
      </c>
    </row>
    <row r="48">
      <c r="A48" s="2" t="inlineStr">
        <is>
          <t>ANNUAL SUMMARY</t>
        </is>
      </c>
    </row>
    <row r="49">
      <c r="A49" s="30" t="inlineStr">
        <is>
          <t>Year</t>
        </is>
      </c>
      <c r="B49" s="30" t="inlineStr"/>
      <c r="C49" s="30" t="inlineStr">
        <is>
          <t>Opening</t>
        </is>
      </c>
      <c r="D49" s="30" t="inlineStr">
        <is>
          <t>Interest</t>
        </is>
      </c>
      <c r="E49" s="30" t="inlineStr">
        <is>
          <t>Principal</t>
        </is>
      </c>
      <c r="F49" s="30" t="inlineStr">
        <is>
          <t>Closing</t>
        </is>
      </c>
    </row>
    <row r="50">
      <c r="A50" s="21" t="n">
        <v>2026</v>
      </c>
      <c r="C50" s="13">
        <f>C23</f>
        <v/>
      </c>
      <c r="D50" s="13">
        <f>SUM(D23:D34)</f>
        <v/>
      </c>
      <c r="E50" s="13">
        <f>SUM(E23:E34)</f>
        <v/>
      </c>
      <c r="F50" s="13">
        <f>F34</f>
        <v/>
      </c>
    </row>
    <row r="51">
      <c r="A51" s="21" t="n">
        <v>2027</v>
      </c>
      <c r="C51" s="13">
        <f>C35</f>
        <v/>
      </c>
      <c r="D51" s="13">
        <f>SUM(D35:D45)</f>
        <v/>
      </c>
      <c r="E51" s="13">
        <f>SUM(E35:E45)</f>
        <v/>
      </c>
      <c r="F51" s="13">
        <f>F45</f>
        <v/>
      </c>
    </row>
    <row r="54">
      <c r="A54" s="1" t="inlineStr">
        <is>
          <t>CURRENT BALANCE (for DS link):</t>
        </is>
      </c>
      <c r="B54" s="31">
        <f>F34</f>
        <v/>
      </c>
    </row>
  </sheetData>
  <mergeCells count="4">
    <mergeCell ref="A1:F1"/>
    <mergeCell ref="A12:F12"/>
    <mergeCell ref="B18:F18"/>
    <mergeCell ref="A48:F48"/>
  </mergeCells>
  <pageMargins left="0.75" right="0.75" top="1" bottom="1" header="0.5" footer="0.5"/>
  <legacyDrawing xmlns:r="http://schemas.openxmlformats.org/officeDocument/2006/relationships" r:id="anysvml"/>
</worksheet>
</file>

<file path=xl/worksheets/sheet23.xml><?xml version="1.0" encoding="utf-8"?>
<worksheet xmlns="http://schemas.openxmlformats.org/spreadsheetml/2006/main">
  <sheetPr>
    <tabColor rgb="00808080"/>
    <outlinePr summaryBelow="1" summaryRight="1"/>
    <pageSetUpPr/>
  </sheetPr>
  <dimension ref="A1:F64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PACCAR FINANCIAL - LOAN #11</t>
        </is>
      </c>
    </row>
    <row r="2">
      <c r="A2" t="inlineStr">
        <is>
          <t>Description:</t>
        </is>
      </c>
      <c r="B2" s="4" t="inlineStr">
        <is>
          <t>5 T680</t>
        </is>
      </c>
    </row>
    <row r="3">
      <c r="A3" t="inlineStr">
        <is>
          <t>Loan ID:</t>
        </is>
      </c>
      <c r="B3" t="inlineStr">
        <is>
          <t>05-2959-008-000-00</t>
        </is>
      </c>
    </row>
    <row r="4">
      <c r="A4" t="inlineStr">
        <is>
          <t>Loan Number:</t>
        </is>
      </c>
      <c r="B4" t="inlineStr">
        <is>
          <t>7368954</t>
        </is>
      </c>
    </row>
    <row r="5">
      <c r="A5" t="inlineStr">
        <is>
          <t>Collateral:</t>
        </is>
      </c>
      <c r="B5" t="inlineStr">
        <is>
          <t>Equipment - Semi Trucks</t>
        </is>
      </c>
    </row>
    <row r="6">
      <c r="A6" t="inlineStr">
        <is>
          <t>Opening Balance (12/31/25):</t>
        </is>
      </c>
      <c r="B6" s="26" t="n">
        <v>401579</v>
      </c>
    </row>
    <row r="7">
      <c r="A7" t="inlineStr">
        <is>
          <t>Annual Interest Rate:</t>
        </is>
      </c>
      <c r="B7" s="6" t="n">
        <v>0.0494</v>
      </c>
    </row>
    <row r="8">
      <c r="A8" t="inlineStr">
        <is>
          <t>Monthly Payment:</t>
        </is>
      </c>
      <c r="B8" s="26" t="n">
        <v>14085</v>
      </c>
    </row>
    <row r="9">
      <c r="A9" t="inlineStr">
        <is>
          <t>Origination Date:</t>
        </is>
      </c>
      <c r="B9" s="32" t="n">
        <v>44827</v>
      </c>
    </row>
    <row r="10">
      <c r="A10" t="inlineStr">
        <is>
          <t>Maturity Date:</t>
        </is>
      </c>
      <c r="B10" s="32" t="n">
        <v>46941</v>
      </c>
    </row>
    <row r="12">
      <c r="A12" s="8" t="inlineStr">
        <is>
          <t>AI ANALYSIS</t>
        </is>
      </c>
    </row>
    <row r="13">
      <c r="A13" t="inlineStr">
        <is>
          <t>Loan Type:</t>
        </is>
      </c>
      <c r="B13" s="9" t="inlineStr">
        <is>
          <t>AMORTIZING</t>
        </is>
      </c>
    </row>
    <row r="14">
      <c r="A14" t="inlineStr">
        <is>
          <t>Lender:</t>
        </is>
      </c>
      <c r="B14" s="9" t="inlineStr">
        <is>
          <t>Paccar Financial</t>
        </is>
      </c>
    </row>
    <row r="15">
      <c r="A15" t="inlineStr">
        <is>
          <t>Equipment Type:</t>
        </is>
      </c>
      <c r="B15" s="9" t="inlineStr">
        <is>
          <t>Semi Trucks (Kenworth/Peterbilt)</t>
        </is>
      </c>
    </row>
    <row r="16">
      <c r="A16" t="inlineStr">
        <is>
          <t>Original Balance:</t>
        </is>
      </c>
      <c r="B16" s="28" t="n">
        <v>800175</v>
      </c>
    </row>
    <row r="17">
      <c r="A17" t="inlineStr">
        <is>
          <t>Months Remaining (from 1/1/26):</t>
        </is>
      </c>
      <c r="B17" s="9" t="n">
        <v>30</v>
      </c>
    </row>
    <row r="18">
      <c r="A18" t="inlineStr">
        <is>
          <t>Amortization Notes:</t>
        </is>
      </c>
      <c r="B18" s="9" t="inlineStr">
        <is>
          <t>Standard equipment financing with fixed monthly payments. Interest calculated on declining balance.</t>
        </is>
      </c>
    </row>
    <row r="19">
      <c r="A19" t="inlineStr">
        <is>
          <t>Source Document:</t>
        </is>
      </c>
      <c r="B19" s="9" t="inlineStr">
        <is>
          <t>Meiborg_Debt_Schedule_202512.xlsx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21" t="n">
        <v>1</v>
      </c>
      <c r="B23" s="33" t="n">
        <v>46023</v>
      </c>
      <c r="C23" s="13">
        <f>$B$6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21" t="n">
        <v>2</v>
      </c>
      <c r="B24" s="33" t="n">
        <v>46054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21" t="n">
        <v>3</v>
      </c>
      <c r="B25" s="33" t="n">
        <v>46082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21" t="n">
        <v>4</v>
      </c>
      <c r="B26" s="33" t="n">
        <v>46113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21" t="n">
        <v>5</v>
      </c>
      <c r="B27" s="33" t="n">
        <v>46143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21" t="n">
        <v>6</v>
      </c>
      <c r="B28" s="33" t="n">
        <v>46174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21" t="n">
        <v>7</v>
      </c>
      <c r="B29" s="33" t="n">
        <v>46204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21" t="n">
        <v>8</v>
      </c>
      <c r="B30" s="33" t="n">
        <v>46235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21" t="n">
        <v>9</v>
      </c>
      <c r="B31" s="33" t="n">
        <v>46266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21" t="n">
        <v>10</v>
      </c>
      <c r="B32" s="33" t="n">
        <v>46296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21" t="n">
        <v>11</v>
      </c>
      <c r="B33" s="33" t="n">
        <v>46327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4">
      <c r="A34" s="21" t="n">
        <v>12</v>
      </c>
      <c r="B34" s="33" t="n">
        <v>46357</v>
      </c>
      <c r="C34" s="13">
        <f>F33</f>
        <v/>
      </c>
      <c r="D34" s="13">
        <f>MAX(0,C34*$B$7/12)</f>
        <v/>
      </c>
      <c r="E34" s="13">
        <f>MAX(0,MIN(C34,$B$8-D34))</f>
        <v/>
      </c>
      <c r="F34" s="13">
        <f>MAX(0,C34-E34)</f>
        <v/>
      </c>
    </row>
    <row r="35">
      <c r="A35" s="21" t="n">
        <v>13</v>
      </c>
      <c r="B35" s="33" t="n">
        <v>46388</v>
      </c>
      <c r="C35" s="13">
        <f>F34</f>
        <v/>
      </c>
      <c r="D35" s="13">
        <f>MAX(0,C35*$B$7/12)</f>
        <v/>
      </c>
      <c r="E35" s="13">
        <f>MAX(0,MIN(C35,$B$8-D35))</f>
        <v/>
      </c>
      <c r="F35" s="13">
        <f>MAX(0,C35-E35)</f>
        <v/>
      </c>
    </row>
    <row r="36">
      <c r="A36" s="21" t="n">
        <v>14</v>
      </c>
      <c r="B36" s="33" t="n">
        <v>46419</v>
      </c>
      <c r="C36" s="13">
        <f>F35</f>
        <v/>
      </c>
      <c r="D36" s="13">
        <f>MAX(0,C36*$B$7/12)</f>
        <v/>
      </c>
      <c r="E36" s="13">
        <f>MAX(0,MIN(C36,$B$8-D36))</f>
        <v/>
      </c>
      <c r="F36" s="13">
        <f>MAX(0,C36-E36)</f>
        <v/>
      </c>
    </row>
    <row r="37">
      <c r="A37" s="21" t="n">
        <v>15</v>
      </c>
      <c r="B37" s="33" t="n">
        <v>46447</v>
      </c>
      <c r="C37" s="13">
        <f>F36</f>
        <v/>
      </c>
      <c r="D37" s="13">
        <f>MAX(0,C37*$B$7/12)</f>
        <v/>
      </c>
      <c r="E37" s="13">
        <f>MAX(0,MIN(C37,$B$8-D37))</f>
        <v/>
      </c>
      <c r="F37" s="13">
        <f>MAX(0,C37-E37)</f>
        <v/>
      </c>
    </row>
    <row r="38">
      <c r="A38" s="21" t="n">
        <v>16</v>
      </c>
      <c r="B38" s="33" t="n">
        <v>46478</v>
      </c>
      <c r="C38" s="13">
        <f>F37</f>
        <v/>
      </c>
      <c r="D38" s="13">
        <f>MAX(0,C38*$B$7/12)</f>
        <v/>
      </c>
      <c r="E38" s="13">
        <f>MAX(0,MIN(C38,$B$8-D38))</f>
        <v/>
      </c>
      <c r="F38" s="13">
        <f>MAX(0,C38-E38)</f>
        <v/>
      </c>
    </row>
    <row r="39">
      <c r="A39" s="21" t="n">
        <v>17</v>
      </c>
      <c r="B39" s="33" t="n">
        <v>46508</v>
      </c>
      <c r="C39" s="13">
        <f>F38</f>
        <v/>
      </c>
      <c r="D39" s="13">
        <f>MAX(0,C39*$B$7/12)</f>
        <v/>
      </c>
      <c r="E39" s="13">
        <f>MAX(0,MIN(C39,$B$8-D39))</f>
        <v/>
      </c>
      <c r="F39" s="13">
        <f>MAX(0,C39-E39)</f>
        <v/>
      </c>
    </row>
    <row r="40">
      <c r="A40" s="21" t="n">
        <v>18</v>
      </c>
      <c r="B40" s="33" t="n">
        <v>46539</v>
      </c>
      <c r="C40" s="13">
        <f>F39</f>
        <v/>
      </c>
      <c r="D40" s="13">
        <f>MAX(0,C40*$B$7/12)</f>
        <v/>
      </c>
      <c r="E40" s="13">
        <f>MAX(0,MIN(C40,$B$8-D40))</f>
        <v/>
      </c>
      <c r="F40" s="13">
        <f>MAX(0,C40-E40)</f>
        <v/>
      </c>
    </row>
    <row r="41">
      <c r="A41" s="21" t="n">
        <v>19</v>
      </c>
      <c r="B41" s="33" t="n">
        <v>46569</v>
      </c>
      <c r="C41" s="13">
        <f>F40</f>
        <v/>
      </c>
      <c r="D41" s="13">
        <f>MAX(0,C41*$B$7/12)</f>
        <v/>
      </c>
      <c r="E41" s="13">
        <f>MAX(0,MIN(C41,$B$8-D41))</f>
        <v/>
      </c>
      <c r="F41" s="13">
        <f>MAX(0,C41-E41)</f>
        <v/>
      </c>
    </row>
    <row r="42">
      <c r="A42" s="21" t="n">
        <v>20</v>
      </c>
      <c r="B42" s="33" t="n">
        <v>46600</v>
      </c>
      <c r="C42" s="13">
        <f>F41</f>
        <v/>
      </c>
      <c r="D42" s="13">
        <f>MAX(0,C42*$B$7/12)</f>
        <v/>
      </c>
      <c r="E42" s="13">
        <f>MAX(0,MIN(C42,$B$8-D42))</f>
        <v/>
      </c>
      <c r="F42" s="13">
        <f>MAX(0,C42-E42)</f>
        <v/>
      </c>
    </row>
    <row r="43">
      <c r="A43" s="21" t="n">
        <v>21</v>
      </c>
      <c r="B43" s="33" t="n">
        <v>46631</v>
      </c>
      <c r="C43" s="13">
        <f>F42</f>
        <v/>
      </c>
      <c r="D43" s="13">
        <f>MAX(0,C43*$B$7/12)</f>
        <v/>
      </c>
      <c r="E43" s="13">
        <f>MAX(0,MIN(C43,$B$8-D43))</f>
        <v/>
      </c>
      <c r="F43" s="13">
        <f>MAX(0,C43-E43)</f>
        <v/>
      </c>
    </row>
    <row r="44">
      <c r="A44" s="21" t="n">
        <v>22</v>
      </c>
      <c r="B44" s="33" t="n">
        <v>46661</v>
      </c>
      <c r="C44" s="13">
        <f>F43</f>
        <v/>
      </c>
      <c r="D44" s="13">
        <f>MAX(0,C44*$B$7/12)</f>
        <v/>
      </c>
      <c r="E44" s="13">
        <f>MAX(0,MIN(C44,$B$8-D44))</f>
        <v/>
      </c>
      <c r="F44" s="13">
        <f>MAX(0,C44-E44)</f>
        <v/>
      </c>
    </row>
    <row r="45">
      <c r="A45" s="21" t="n">
        <v>23</v>
      </c>
      <c r="B45" s="33" t="n">
        <v>46692</v>
      </c>
      <c r="C45" s="13">
        <f>F44</f>
        <v/>
      </c>
      <c r="D45" s="13">
        <f>MAX(0,C45*$B$7/12)</f>
        <v/>
      </c>
      <c r="E45" s="13">
        <f>MAX(0,MIN(C45,$B$8-D45))</f>
        <v/>
      </c>
      <c r="F45" s="13">
        <f>MAX(0,C45-E45)</f>
        <v/>
      </c>
    </row>
    <row r="46">
      <c r="A46" s="21" t="n">
        <v>24</v>
      </c>
      <c r="B46" s="33" t="n">
        <v>46722</v>
      </c>
      <c r="C46" s="13">
        <f>F45</f>
        <v/>
      </c>
      <c r="D46" s="13">
        <f>MAX(0,C46*$B$7/12)</f>
        <v/>
      </c>
      <c r="E46" s="13">
        <f>MAX(0,MIN(C46,$B$8-D46))</f>
        <v/>
      </c>
      <c r="F46" s="13">
        <f>MAX(0,C46-E46)</f>
        <v/>
      </c>
    </row>
    <row r="47">
      <c r="A47" s="21" t="n">
        <v>25</v>
      </c>
      <c r="B47" s="33" t="n">
        <v>46753</v>
      </c>
      <c r="C47" s="13">
        <f>F46</f>
        <v/>
      </c>
      <c r="D47" s="13">
        <f>MAX(0,C47*$B$7/12)</f>
        <v/>
      </c>
      <c r="E47" s="13">
        <f>MAX(0,MIN(C47,$B$8-D47))</f>
        <v/>
      </c>
      <c r="F47" s="13">
        <f>MAX(0,C47-E47)</f>
        <v/>
      </c>
    </row>
    <row r="48">
      <c r="A48" s="21" t="n">
        <v>26</v>
      </c>
      <c r="B48" s="33" t="n">
        <v>46784</v>
      </c>
      <c r="C48" s="13">
        <f>F47</f>
        <v/>
      </c>
      <c r="D48" s="13">
        <f>MAX(0,C48*$B$7/12)</f>
        <v/>
      </c>
      <c r="E48" s="13">
        <f>MAX(0,MIN(C48,$B$8-D48))</f>
        <v/>
      </c>
      <c r="F48" s="13">
        <f>MAX(0,C48-E48)</f>
        <v/>
      </c>
    </row>
    <row r="49">
      <c r="A49" s="21" t="n">
        <v>27</v>
      </c>
      <c r="B49" s="33" t="n">
        <v>46813</v>
      </c>
      <c r="C49" s="13">
        <f>F48</f>
        <v/>
      </c>
      <c r="D49" s="13">
        <f>MAX(0,C49*$B$7/12)</f>
        <v/>
      </c>
      <c r="E49" s="13">
        <f>MAX(0,MIN(C49,$B$8-D49))</f>
        <v/>
      </c>
      <c r="F49" s="13">
        <f>MAX(0,C49-E49)</f>
        <v/>
      </c>
    </row>
    <row r="50">
      <c r="A50" s="21" t="n">
        <v>28</v>
      </c>
      <c r="B50" s="33" t="n">
        <v>46844</v>
      </c>
      <c r="C50" s="13">
        <f>F49</f>
        <v/>
      </c>
      <c r="D50" s="13">
        <f>MAX(0,C50*$B$7/12)</f>
        <v/>
      </c>
      <c r="E50" s="13">
        <f>MAX(0,MIN(C50,$B$8-D50))</f>
        <v/>
      </c>
      <c r="F50" s="13">
        <f>MAX(0,C50-E50)</f>
        <v/>
      </c>
    </row>
    <row r="51">
      <c r="A51" s="21" t="n">
        <v>29</v>
      </c>
      <c r="B51" s="33" t="n">
        <v>46874</v>
      </c>
      <c r="C51" s="13">
        <f>F50</f>
        <v/>
      </c>
      <c r="D51" s="13">
        <f>MAX(0,C51*$B$7/12)</f>
        <v/>
      </c>
      <c r="E51" s="13">
        <f>MAX(0,MIN(C51,$B$8-D51))</f>
        <v/>
      </c>
      <c r="F51" s="13">
        <f>MAX(0,C51-E51)</f>
        <v/>
      </c>
    </row>
    <row r="52">
      <c r="A52" s="21" t="n">
        <v>30</v>
      </c>
      <c r="B52" s="33" t="n">
        <v>46905</v>
      </c>
      <c r="C52" s="13">
        <f>F51</f>
        <v/>
      </c>
      <c r="D52" s="13">
        <f>MAX(0,C52*$B$7/12)</f>
        <v/>
      </c>
      <c r="E52" s="13">
        <f>MAX(0,MIN(C52,$B$8-D52))</f>
        <v/>
      </c>
      <c r="F52" s="13">
        <f>MAX(0,C52-E52)</f>
        <v/>
      </c>
    </row>
    <row r="53">
      <c r="A53" s="21" t="n">
        <v>31</v>
      </c>
      <c r="B53" s="33" t="n">
        <v>46935</v>
      </c>
      <c r="C53" s="13">
        <f>F52</f>
        <v/>
      </c>
      <c r="D53" s="13">
        <f>MAX(0,C53*$B$7/12)</f>
        <v/>
      </c>
      <c r="E53" s="13">
        <f>MAX(0,MIN(C53,$B$8-D53))</f>
        <v/>
      </c>
      <c r="F53" s="13">
        <f>MAX(0,C53-E53)</f>
        <v/>
      </c>
    </row>
    <row r="54">
      <c r="A54" s="21" t="n">
        <v>32</v>
      </c>
      <c r="B54" s="33" t="n">
        <v>46966</v>
      </c>
      <c r="C54" s="13">
        <f>F53</f>
        <v/>
      </c>
      <c r="D54" s="13">
        <f>MAX(0,C54*$B$7/12)</f>
        <v/>
      </c>
      <c r="E54" s="13">
        <f>MAX(0,MIN(C54,$B$8-D54))</f>
        <v/>
      </c>
      <c r="F54" s="13">
        <f>MAX(0,C54-E54)</f>
        <v/>
      </c>
    </row>
    <row r="57">
      <c r="A57" s="2" t="inlineStr">
        <is>
          <t>ANNUAL SUMMARY</t>
        </is>
      </c>
    </row>
    <row r="58">
      <c r="A58" s="30" t="inlineStr">
        <is>
          <t>Year</t>
        </is>
      </c>
      <c r="B58" s="30" t="inlineStr"/>
      <c r="C58" s="30" t="inlineStr">
        <is>
          <t>Opening</t>
        </is>
      </c>
      <c r="D58" s="30" t="inlineStr">
        <is>
          <t>Interest</t>
        </is>
      </c>
      <c r="E58" s="30" t="inlineStr">
        <is>
          <t>Principal</t>
        </is>
      </c>
      <c r="F58" s="30" t="inlineStr">
        <is>
          <t>Closing</t>
        </is>
      </c>
    </row>
    <row r="59">
      <c r="A59" s="21" t="n">
        <v>2026</v>
      </c>
      <c r="C59" s="13">
        <f>C23</f>
        <v/>
      </c>
      <c r="D59" s="13">
        <f>SUM(D23:D34)</f>
        <v/>
      </c>
      <c r="E59" s="13">
        <f>SUM(E23:E34)</f>
        <v/>
      </c>
      <c r="F59" s="13">
        <f>F34</f>
        <v/>
      </c>
    </row>
    <row r="60">
      <c r="A60" s="21" t="n">
        <v>2027</v>
      </c>
      <c r="C60" s="13">
        <f>C35</f>
        <v/>
      </c>
      <c r="D60" s="13">
        <f>SUM(D35:D46)</f>
        <v/>
      </c>
      <c r="E60" s="13">
        <f>SUM(E35:E46)</f>
        <v/>
      </c>
      <c r="F60" s="13">
        <f>F46</f>
        <v/>
      </c>
    </row>
    <row r="61">
      <c r="A61" s="21" t="n">
        <v>2028</v>
      </c>
      <c r="C61" s="13">
        <f>C47</f>
        <v/>
      </c>
      <c r="D61" s="13">
        <f>SUM(D47:D54)</f>
        <v/>
      </c>
      <c r="E61" s="13">
        <f>SUM(E47:E54)</f>
        <v/>
      </c>
      <c r="F61" s="13">
        <f>F54</f>
        <v/>
      </c>
    </row>
    <row r="64">
      <c r="A64" s="1" t="inlineStr">
        <is>
          <t>CURRENT BALANCE (for DS link):</t>
        </is>
      </c>
      <c r="B64" s="31">
        <f>F34</f>
        <v/>
      </c>
    </row>
  </sheetData>
  <mergeCells count="4">
    <mergeCell ref="A1:F1"/>
    <mergeCell ref="A12:F12"/>
    <mergeCell ref="B18:F18"/>
    <mergeCell ref="A57:F57"/>
  </mergeCells>
  <pageMargins left="0.75" right="0.75" top="1" bottom="1" header="0.5" footer="0.5"/>
  <legacyDrawing xmlns:r="http://schemas.openxmlformats.org/officeDocument/2006/relationships" r:id="anysvml"/>
</worksheet>
</file>

<file path=xl/worksheets/sheet24.xml><?xml version="1.0" encoding="utf-8"?>
<worksheet xmlns="http://schemas.openxmlformats.org/spreadsheetml/2006/main">
  <sheetPr>
    <tabColor rgb="00808080"/>
    <outlinePr summaryBelow="1" summaryRight="1"/>
    <pageSetUpPr/>
  </sheetPr>
  <dimension ref="A1:F65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PACCAR FINANCIAL - LOAN #12</t>
        </is>
      </c>
    </row>
    <row r="2">
      <c r="A2" t="inlineStr">
        <is>
          <t>Description:</t>
        </is>
      </c>
      <c r="B2" s="4" t="inlineStr">
        <is>
          <t>3 T680</t>
        </is>
      </c>
    </row>
    <row r="3">
      <c r="A3" t="inlineStr">
        <is>
          <t>Loan ID:</t>
        </is>
      </c>
      <c r="B3" t="inlineStr">
        <is>
          <t>05-2959-009-000-00</t>
        </is>
      </c>
    </row>
    <row r="4">
      <c r="A4" t="inlineStr">
        <is>
          <t>Loan Number:</t>
        </is>
      </c>
      <c r="B4" t="inlineStr">
        <is>
          <t>7374077</t>
        </is>
      </c>
    </row>
    <row r="5">
      <c r="A5" t="inlineStr">
        <is>
          <t>Collateral:</t>
        </is>
      </c>
      <c r="B5" t="inlineStr">
        <is>
          <t>Equipment - Semi Trucks</t>
        </is>
      </c>
    </row>
    <row r="6">
      <c r="A6" t="inlineStr">
        <is>
          <t>Opening Balance (12/31/25):</t>
        </is>
      </c>
      <c r="B6" s="26" t="n">
        <v>249755</v>
      </c>
    </row>
    <row r="7">
      <c r="A7" t="inlineStr">
        <is>
          <t>Annual Interest Rate:</t>
        </is>
      </c>
      <c r="B7" s="6" t="n">
        <v>0.0494</v>
      </c>
    </row>
    <row r="8">
      <c r="A8" t="inlineStr">
        <is>
          <t>Monthly Payment:</t>
        </is>
      </c>
      <c r="B8" s="26" t="n">
        <v>8511</v>
      </c>
    </row>
    <row r="9">
      <c r="A9" t="inlineStr">
        <is>
          <t>Origination Date:</t>
        </is>
      </c>
      <c r="B9" s="32" t="n">
        <v>44851</v>
      </c>
    </row>
    <row r="10">
      <c r="A10" t="inlineStr">
        <is>
          <t>Maturity Date:</t>
        </is>
      </c>
      <c r="B10" s="32" t="n">
        <v>46966</v>
      </c>
    </row>
    <row r="12">
      <c r="A12" s="8" t="inlineStr">
        <is>
          <t>AI ANALYSIS</t>
        </is>
      </c>
    </row>
    <row r="13">
      <c r="A13" t="inlineStr">
        <is>
          <t>Loan Type:</t>
        </is>
      </c>
      <c r="B13" s="9" t="inlineStr">
        <is>
          <t>AMORTIZING</t>
        </is>
      </c>
    </row>
    <row r="14">
      <c r="A14" t="inlineStr">
        <is>
          <t>Lender:</t>
        </is>
      </c>
      <c r="B14" s="9" t="inlineStr">
        <is>
          <t>Paccar Financial</t>
        </is>
      </c>
    </row>
    <row r="15">
      <c r="A15" t="inlineStr">
        <is>
          <t>Equipment Type:</t>
        </is>
      </c>
      <c r="B15" s="9" t="inlineStr">
        <is>
          <t>Semi Trucks (Kenworth/Peterbilt)</t>
        </is>
      </c>
    </row>
    <row r="16">
      <c r="A16" t="inlineStr">
        <is>
          <t>Original Balance:</t>
        </is>
      </c>
      <c r="B16" s="28" t="n">
        <v>483105</v>
      </c>
    </row>
    <row r="17">
      <c r="A17" t="inlineStr">
        <is>
          <t>Months Remaining (from 1/1/26):</t>
        </is>
      </c>
      <c r="B17" s="9" t="n">
        <v>31</v>
      </c>
    </row>
    <row r="18">
      <c r="A18" t="inlineStr">
        <is>
          <t>Amortization Notes:</t>
        </is>
      </c>
      <c r="B18" s="9" t="inlineStr">
        <is>
          <t>Standard equipment financing with fixed monthly payments. Interest calculated on declining balance.</t>
        </is>
      </c>
    </row>
    <row r="19">
      <c r="A19" t="inlineStr">
        <is>
          <t>Source Document:</t>
        </is>
      </c>
      <c r="B19" s="9" t="inlineStr">
        <is>
          <t>Meiborg_Debt_Schedule_202512.xlsx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21" t="n">
        <v>1</v>
      </c>
      <c r="B23" s="33" t="n">
        <v>46023</v>
      </c>
      <c r="C23" s="13">
        <f>$B$6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21" t="n">
        <v>2</v>
      </c>
      <c r="B24" s="33" t="n">
        <v>46054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21" t="n">
        <v>3</v>
      </c>
      <c r="B25" s="33" t="n">
        <v>46082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21" t="n">
        <v>4</v>
      </c>
      <c r="B26" s="33" t="n">
        <v>46113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21" t="n">
        <v>5</v>
      </c>
      <c r="B27" s="33" t="n">
        <v>46143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21" t="n">
        <v>6</v>
      </c>
      <c r="B28" s="33" t="n">
        <v>46174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21" t="n">
        <v>7</v>
      </c>
      <c r="B29" s="33" t="n">
        <v>46204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21" t="n">
        <v>8</v>
      </c>
      <c r="B30" s="33" t="n">
        <v>46235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21" t="n">
        <v>9</v>
      </c>
      <c r="B31" s="33" t="n">
        <v>46266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21" t="n">
        <v>10</v>
      </c>
      <c r="B32" s="33" t="n">
        <v>46296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21" t="n">
        <v>11</v>
      </c>
      <c r="B33" s="33" t="n">
        <v>46327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4">
      <c r="A34" s="21" t="n">
        <v>12</v>
      </c>
      <c r="B34" s="33" t="n">
        <v>46357</v>
      </c>
      <c r="C34" s="13">
        <f>F33</f>
        <v/>
      </c>
      <c r="D34" s="13">
        <f>MAX(0,C34*$B$7/12)</f>
        <v/>
      </c>
      <c r="E34" s="13">
        <f>MAX(0,MIN(C34,$B$8-D34))</f>
        <v/>
      </c>
      <c r="F34" s="13">
        <f>MAX(0,C34-E34)</f>
        <v/>
      </c>
    </row>
    <row r="35">
      <c r="A35" s="21" t="n">
        <v>13</v>
      </c>
      <c r="B35" s="33" t="n">
        <v>46388</v>
      </c>
      <c r="C35" s="13">
        <f>F34</f>
        <v/>
      </c>
      <c r="D35" s="13">
        <f>MAX(0,C35*$B$7/12)</f>
        <v/>
      </c>
      <c r="E35" s="13">
        <f>MAX(0,MIN(C35,$B$8-D35))</f>
        <v/>
      </c>
      <c r="F35" s="13">
        <f>MAX(0,C35-E35)</f>
        <v/>
      </c>
    </row>
    <row r="36">
      <c r="A36" s="21" t="n">
        <v>14</v>
      </c>
      <c r="B36" s="33" t="n">
        <v>46419</v>
      </c>
      <c r="C36" s="13">
        <f>F35</f>
        <v/>
      </c>
      <c r="D36" s="13">
        <f>MAX(0,C36*$B$7/12)</f>
        <v/>
      </c>
      <c r="E36" s="13">
        <f>MAX(0,MIN(C36,$B$8-D36))</f>
        <v/>
      </c>
      <c r="F36" s="13">
        <f>MAX(0,C36-E36)</f>
        <v/>
      </c>
    </row>
    <row r="37">
      <c r="A37" s="21" t="n">
        <v>15</v>
      </c>
      <c r="B37" s="33" t="n">
        <v>46447</v>
      </c>
      <c r="C37" s="13">
        <f>F36</f>
        <v/>
      </c>
      <c r="D37" s="13">
        <f>MAX(0,C37*$B$7/12)</f>
        <v/>
      </c>
      <c r="E37" s="13">
        <f>MAX(0,MIN(C37,$B$8-D37))</f>
        <v/>
      </c>
      <c r="F37" s="13">
        <f>MAX(0,C37-E37)</f>
        <v/>
      </c>
    </row>
    <row r="38">
      <c r="A38" s="21" t="n">
        <v>16</v>
      </c>
      <c r="B38" s="33" t="n">
        <v>46478</v>
      </c>
      <c r="C38" s="13">
        <f>F37</f>
        <v/>
      </c>
      <c r="D38" s="13">
        <f>MAX(0,C38*$B$7/12)</f>
        <v/>
      </c>
      <c r="E38" s="13">
        <f>MAX(0,MIN(C38,$B$8-D38))</f>
        <v/>
      </c>
      <c r="F38" s="13">
        <f>MAX(0,C38-E38)</f>
        <v/>
      </c>
    </row>
    <row r="39">
      <c r="A39" s="21" t="n">
        <v>17</v>
      </c>
      <c r="B39" s="33" t="n">
        <v>46508</v>
      </c>
      <c r="C39" s="13">
        <f>F38</f>
        <v/>
      </c>
      <c r="D39" s="13">
        <f>MAX(0,C39*$B$7/12)</f>
        <v/>
      </c>
      <c r="E39" s="13">
        <f>MAX(0,MIN(C39,$B$8-D39))</f>
        <v/>
      </c>
      <c r="F39" s="13">
        <f>MAX(0,C39-E39)</f>
        <v/>
      </c>
    </row>
    <row r="40">
      <c r="A40" s="21" t="n">
        <v>18</v>
      </c>
      <c r="B40" s="33" t="n">
        <v>46539</v>
      </c>
      <c r="C40" s="13">
        <f>F39</f>
        <v/>
      </c>
      <c r="D40" s="13">
        <f>MAX(0,C40*$B$7/12)</f>
        <v/>
      </c>
      <c r="E40" s="13">
        <f>MAX(0,MIN(C40,$B$8-D40))</f>
        <v/>
      </c>
      <c r="F40" s="13">
        <f>MAX(0,C40-E40)</f>
        <v/>
      </c>
    </row>
    <row r="41">
      <c r="A41" s="21" t="n">
        <v>19</v>
      </c>
      <c r="B41" s="33" t="n">
        <v>46569</v>
      </c>
      <c r="C41" s="13">
        <f>F40</f>
        <v/>
      </c>
      <c r="D41" s="13">
        <f>MAX(0,C41*$B$7/12)</f>
        <v/>
      </c>
      <c r="E41" s="13">
        <f>MAX(0,MIN(C41,$B$8-D41))</f>
        <v/>
      </c>
      <c r="F41" s="13">
        <f>MAX(0,C41-E41)</f>
        <v/>
      </c>
    </row>
    <row r="42">
      <c r="A42" s="21" t="n">
        <v>20</v>
      </c>
      <c r="B42" s="33" t="n">
        <v>46600</v>
      </c>
      <c r="C42" s="13">
        <f>F41</f>
        <v/>
      </c>
      <c r="D42" s="13">
        <f>MAX(0,C42*$B$7/12)</f>
        <v/>
      </c>
      <c r="E42" s="13">
        <f>MAX(0,MIN(C42,$B$8-D42))</f>
        <v/>
      </c>
      <c r="F42" s="13">
        <f>MAX(0,C42-E42)</f>
        <v/>
      </c>
    </row>
    <row r="43">
      <c r="A43" s="21" t="n">
        <v>21</v>
      </c>
      <c r="B43" s="33" t="n">
        <v>46631</v>
      </c>
      <c r="C43" s="13">
        <f>F42</f>
        <v/>
      </c>
      <c r="D43" s="13">
        <f>MAX(0,C43*$B$7/12)</f>
        <v/>
      </c>
      <c r="E43" s="13">
        <f>MAX(0,MIN(C43,$B$8-D43))</f>
        <v/>
      </c>
      <c r="F43" s="13">
        <f>MAX(0,C43-E43)</f>
        <v/>
      </c>
    </row>
    <row r="44">
      <c r="A44" s="21" t="n">
        <v>22</v>
      </c>
      <c r="B44" s="33" t="n">
        <v>46661</v>
      </c>
      <c r="C44" s="13">
        <f>F43</f>
        <v/>
      </c>
      <c r="D44" s="13">
        <f>MAX(0,C44*$B$7/12)</f>
        <v/>
      </c>
      <c r="E44" s="13">
        <f>MAX(0,MIN(C44,$B$8-D44))</f>
        <v/>
      </c>
      <c r="F44" s="13">
        <f>MAX(0,C44-E44)</f>
        <v/>
      </c>
    </row>
    <row r="45">
      <c r="A45" s="21" t="n">
        <v>23</v>
      </c>
      <c r="B45" s="33" t="n">
        <v>46692</v>
      </c>
      <c r="C45" s="13">
        <f>F44</f>
        <v/>
      </c>
      <c r="D45" s="13">
        <f>MAX(0,C45*$B$7/12)</f>
        <v/>
      </c>
      <c r="E45" s="13">
        <f>MAX(0,MIN(C45,$B$8-D45))</f>
        <v/>
      </c>
      <c r="F45" s="13">
        <f>MAX(0,C45-E45)</f>
        <v/>
      </c>
    </row>
    <row r="46">
      <c r="A46" s="21" t="n">
        <v>24</v>
      </c>
      <c r="B46" s="33" t="n">
        <v>46722</v>
      </c>
      <c r="C46" s="13">
        <f>F45</f>
        <v/>
      </c>
      <c r="D46" s="13">
        <f>MAX(0,C46*$B$7/12)</f>
        <v/>
      </c>
      <c r="E46" s="13">
        <f>MAX(0,MIN(C46,$B$8-D46))</f>
        <v/>
      </c>
      <c r="F46" s="13">
        <f>MAX(0,C46-E46)</f>
        <v/>
      </c>
    </row>
    <row r="47">
      <c r="A47" s="21" t="n">
        <v>25</v>
      </c>
      <c r="B47" s="33" t="n">
        <v>46753</v>
      </c>
      <c r="C47" s="13">
        <f>F46</f>
        <v/>
      </c>
      <c r="D47" s="13">
        <f>MAX(0,C47*$B$7/12)</f>
        <v/>
      </c>
      <c r="E47" s="13">
        <f>MAX(0,MIN(C47,$B$8-D47))</f>
        <v/>
      </c>
      <c r="F47" s="13">
        <f>MAX(0,C47-E47)</f>
        <v/>
      </c>
    </row>
    <row r="48">
      <c r="A48" s="21" t="n">
        <v>26</v>
      </c>
      <c r="B48" s="33" t="n">
        <v>46784</v>
      </c>
      <c r="C48" s="13">
        <f>F47</f>
        <v/>
      </c>
      <c r="D48" s="13">
        <f>MAX(0,C48*$B$7/12)</f>
        <v/>
      </c>
      <c r="E48" s="13">
        <f>MAX(0,MIN(C48,$B$8-D48))</f>
        <v/>
      </c>
      <c r="F48" s="13">
        <f>MAX(0,C48-E48)</f>
        <v/>
      </c>
    </row>
    <row r="49">
      <c r="A49" s="21" t="n">
        <v>27</v>
      </c>
      <c r="B49" s="33" t="n">
        <v>46813</v>
      </c>
      <c r="C49" s="13">
        <f>F48</f>
        <v/>
      </c>
      <c r="D49" s="13">
        <f>MAX(0,C49*$B$7/12)</f>
        <v/>
      </c>
      <c r="E49" s="13">
        <f>MAX(0,MIN(C49,$B$8-D49))</f>
        <v/>
      </c>
      <c r="F49" s="13">
        <f>MAX(0,C49-E49)</f>
        <v/>
      </c>
    </row>
    <row r="50">
      <c r="A50" s="21" t="n">
        <v>28</v>
      </c>
      <c r="B50" s="33" t="n">
        <v>46844</v>
      </c>
      <c r="C50" s="13">
        <f>F49</f>
        <v/>
      </c>
      <c r="D50" s="13">
        <f>MAX(0,C50*$B$7/12)</f>
        <v/>
      </c>
      <c r="E50" s="13">
        <f>MAX(0,MIN(C50,$B$8-D50))</f>
        <v/>
      </c>
      <c r="F50" s="13">
        <f>MAX(0,C50-E50)</f>
        <v/>
      </c>
    </row>
    <row r="51">
      <c r="A51" s="21" t="n">
        <v>29</v>
      </c>
      <c r="B51" s="33" t="n">
        <v>46874</v>
      </c>
      <c r="C51" s="13">
        <f>F50</f>
        <v/>
      </c>
      <c r="D51" s="13">
        <f>MAX(0,C51*$B$7/12)</f>
        <v/>
      </c>
      <c r="E51" s="13">
        <f>MAX(0,MIN(C51,$B$8-D51))</f>
        <v/>
      </c>
      <c r="F51" s="13">
        <f>MAX(0,C51-E51)</f>
        <v/>
      </c>
    </row>
    <row r="52">
      <c r="A52" s="21" t="n">
        <v>30</v>
      </c>
      <c r="B52" s="33" t="n">
        <v>46905</v>
      </c>
      <c r="C52" s="13">
        <f>F51</f>
        <v/>
      </c>
      <c r="D52" s="13">
        <f>MAX(0,C52*$B$7/12)</f>
        <v/>
      </c>
      <c r="E52" s="13">
        <f>MAX(0,MIN(C52,$B$8-D52))</f>
        <v/>
      </c>
      <c r="F52" s="13">
        <f>MAX(0,C52-E52)</f>
        <v/>
      </c>
    </row>
    <row r="53">
      <c r="A53" s="21" t="n">
        <v>31</v>
      </c>
      <c r="B53" s="33" t="n">
        <v>46935</v>
      </c>
      <c r="C53" s="13">
        <f>F52</f>
        <v/>
      </c>
      <c r="D53" s="13">
        <f>MAX(0,C53*$B$7/12)</f>
        <v/>
      </c>
      <c r="E53" s="13">
        <f>MAX(0,MIN(C53,$B$8-D53))</f>
        <v/>
      </c>
      <c r="F53" s="13">
        <f>MAX(0,C53-E53)</f>
        <v/>
      </c>
    </row>
    <row r="54">
      <c r="A54" s="21" t="n">
        <v>32</v>
      </c>
      <c r="B54" s="33" t="n">
        <v>46966</v>
      </c>
      <c r="C54" s="13">
        <f>F53</f>
        <v/>
      </c>
      <c r="D54" s="13">
        <f>MAX(0,C54*$B$7/12)</f>
        <v/>
      </c>
      <c r="E54" s="13">
        <f>MAX(0,MIN(C54,$B$8-D54))</f>
        <v/>
      </c>
      <c r="F54" s="13">
        <f>MAX(0,C54-E54)</f>
        <v/>
      </c>
    </row>
    <row r="55">
      <c r="A55" s="21" t="n">
        <v>33</v>
      </c>
      <c r="B55" s="33" t="n">
        <v>46997</v>
      </c>
      <c r="C55" s="13">
        <f>F54</f>
        <v/>
      </c>
      <c r="D55" s="13">
        <f>MAX(0,C55*$B$7/12)</f>
        <v/>
      </c>
      <c r="E55" s="13">
        <f>MAX(0,MIN(C55,$B$8-D55))</f>
        <v/>
      </c>
      <c r="F55" s="13">
        <f>MAX(0,C55-E55)</f>
        <v/>
      </c>
    </row>
    <row r="58">
      <c r="A58" s="2" t="inlineStr">
        <is>
          <t>ANNUAL SUMMARY</t>
        </is>
      </c>
    </row>
    <row r="59">
      <c r="A59" s="30" t="inlineStr">
        <is>
          <t>Year</t>
        </is>
      </c>
      <c r="B59" s="30" t="inlineStr"/>
      <c r="C59" s="30" t="inlineStr">
        <is>
          <t>Opening</t>
        </is>
      </c>
      <c r="D59" s="30" t="inlineStr">
        <is>
          <t>Interest</t>
        </is>
      </c>
      <c r="E59" s="30" t="inlineStr">
        <is>
          <t>Principal</t>
        </is>
      </c>
      <c r="F59" s="30" t="inlineStr">
        <is>
          <t>Closing</t>
        </is>
      </c>
    </row>
    <row r="60">
      <c r="A60" s="21" t="n">
        <v>2026</v>
      </c>
      <c r="C60" s="13">
        <f>C23</f>
        <v/>
      </c>
      <c r="D60" s="13">
        <f>SUM(D23:D34)</f>
        <v/>
      </c>
      <c r="E60" s="13">
        <f>SUM(E23:E34)</f>
        <v/>
      </c>
      <c r="F60" s="13">
        <f>F34</f>
        <v/>
      </c>
    </row>
    <row r="61">
      <c r="A61" s="21" t="n">
        <v>2027</v>
      </c>
      <c r="C61" s="13">
        <f>C35</f>
        <v/>
      </c>
      <c r="D61" s="13">
        <f>SUM(D35:D46)</f>
        <v/>
      </c>
      <c r="E61" s="13">
        <f>SUM(E35:E46)</f>
        <v/>
      </c>
      <c r="F61" s="13">
        <f>F46</f>
        <v/>
      </c>
    </row>
    <row r="62">
      <c r="A62" s="21" t="n">
        <v>2028</v>
      </c>
      <c r="C62" s="13">
        <f>C47</f>
        <v/>
      </c>
      <c r="D62" s="13">
        <f>SUM(D47:D55)</f>
        <v/>
      </c>
      <c r="E62" s="13">
        <f>SUM(E47:E55)</f>
        <v/>
      </c>
      <c r="F62" s="13">
        <f>F55</f>
        <v/>
      </c>
    </row>
    <row r="65">
      <c r="A65" s="1" t="inlineStr">
        <is>
          <t>CURRENT BALANCE (for DS link):</t>
        </is>
      </c>
      <c r="B65" s="31">
        <f>F34</f>
        <v/>
      </c>
    </row>
  </sheetData>
  <mergeCells count="4">
    <mergeCell ref="A58:F58"/>
    <mergeCell ref="A1:F1"/>
    <mergeCell ref="A12:F12"/>
    <mergeCell ref="B18:F18"/>
  </mergeCells>
  <pageMargins left="0.75" right="0.75" top="1" bottom="1" header="0.5" footer="0.5"/>
  <legacyDrawing xmlns:r="http://schemas.openxmlformats.org/officeDocument/2006/relationships" r:id="anysvml"/>
</worksheet>
</file>

<file path=xl/worksheets/sheet25.xml><?xml version="1.0" encoding="utf-8"?>
<worksheet xmlns="http://schemas.openxmlformats.org/spreadsheetml/2006/main">
  <sheetPr>
    <tabColor rgb="00808080"/>
    <outlinePr summaryBelow="1" summaryRight="1"/>
    <pageSetUpPr/>
  </sheetPr>
  <dimension ref="A1:F65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PACCAR FINANCIAL - LOAN #13</t>
        </is>
      </c>
    </row>
    <row r="2">
      <c r="A2" t="inlineStr">
        <is>
          <t>Description:</t>
        </is>
      </c>
      <c r="B2" s="4" t="inlineStr">
        <is>
          <t>2 T680</t>
        </is>
      </c>
    </row>
    <row r="3">
      <c r="A3" t="inlineStr">
        <is>
          <t>Loan ID:</t>
        </is>
      </c>
      <c r="B3" t="inlineStr">
        <is>
          <t>05-2959-010-000-00</t>
        </is>
      </c>
    </row>
    <row r="4">
      <c r="A4" t="inlineStr">
        <is>
          <t>Loan Number:</t>
        </is>
      </c>
      <c r="B4" t="inlineStr">
        <is>
          <t>7375090</t>
        </is>
      </c>
    </row>
    <row r="5">
      <c r="A5" t="inlineStr">
        <is>
          <t>Collateral:</t>
        </is>
      </c>
      <c r="B5" t="inlineStr">
        <is>
          <t>Equipment - Semi Trucks</t>
        </is>
      </c>
    </row>
    <row r="6">
      <c r="A6" t="inlineStr">
        <is>
          <t>Opening Balance (12/31/25):</t>
        </is>
      </c>
      <c r="B6" s="26" t="n">
        <v>168634</v>
      </c>
    </row>
    <row r="7">
      <c r="A7" t="inlineStr">
        <is>
          <t>Annual Interest Rate:</t>
        </is>
      </c>
      <c r="B7" s="6" t="n">
        <v>0.0494</v>
      </c>
    </row>
    <row r="8">
      <c r="A8" t="inlineStr">
        <is>
          <t>Monthly Payment:</t>
        </is>
      </c>
      <c r="B8" s="26" t="n">
        <v>5657</v>
      </c>
    </row>
    <row r="9">
      <c r="A9" t="inlineStr">
        <is>
          <t>Origination Date:</t>
        </is>
      </c>
      <c r="B9" s="32" t="n">
        <v>44860</v>
      </c>
    </row>
    <row r="10">
      <c r="A10" t="inlineStr">
        <is>
          <t>Maturity Date:</t>
        </is>
      </c>
      <c r="B10" s="32" t="n">
        <v>46975</v>
      </c>
    </row>
    <row r="12">
      <c r="A12" s="8" t="inlineStr">
        <is>
          <t>AI ANALYSIS</t>
        </is>
      </c>
    </row>
    <row r="13">
      <c r="A13" t="inlineStr">
        <is>
          <t>Loan Type:</t>
        </is>
      </c>
      <c r="B13" s="9" t="inlineStr">
        <is>
          <t>AMORTIZING</t>
        </is>
      </c>
    </row>
    <row r="14">
      <c r="A14" t="inlineStr">
        <is>
          <t>Lender:</t>
        </is>
      </c>
      <c r="B14" s="9" t="inlineStr">
        <is>
          <t>Paccar Financial</t>
        </is>
      </c>
    </row>
    <row r="15">
      <c r="A15" t="inlineStr">
        <is>
          <t>Equipment Type:</t>
        </is>
      </c>
      <c r="B15" s="9" t="inlineStr">
        <is>
          <t>Semi Trucks (Kenworth/Peterbilt)</t>
        </is>
      </c>
    </row>
    <row r="16">
      <c r="A16" t="inlineStr">
        <is>
          <t>Original Balance:</t>
        </is>
      </c>
      <c r="B16" s="28" t="n">
        <v>320820</v>
      </c>
    </row>
    <row r="17">
      <c r="A17" t="inlineStr">
        <is>
          <t>Months Remaining (from 1/1/26):</t>
        </is>
      </c>
      <c r="B17" s="9" t="n">
        <v>31</v>
      </c>
    </row>
    <row r="18">
      <c r="A18" t="inlineStr">
        <is>
          <t>Amortization Notes:</t>
        </is>
      </c>
      <c r="B18" s="9" t="inlineStr">
        <is>
          <t>Standard equipment financing with fixed monthly payments. Interest calculated on declining balance.</t>
        </is>
      </c>
    </row>
    <row r="19">
      <c r="A19" t="inlineStr">
        <is>
          <t>Source Document:</t>
        </is>
      </c>
      <c r="B19" s="9" t="inlineStr">
        <is>
          <t>Meiborg_Debt_Schedule_202512.xlsx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21" t="n">
        <v>1</v>
      </c>
      <c r="B23" s="33" t="n">
        <v>46023</v>
      </c>
      <c r="C23" s="13">
        <f>$B$6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21" t="n">
        <v>2</v>
      </c>
      <c r="B24" s="33" t="n">
        <v>46054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21" t="n">
        <v>3</v>
      </c>
      <c r="B25" s="33" t="n">
        <v>46082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21" t="n">
        <v>4</v>
      </c>
      <c r="B26" s="33" t="n">
        <v>46113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21" t="n">
        <v>5</v>
      </c>
      <c r="B27" s="33" t="n">
        <v>46143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21" t="n">
        <v>6</v>
      </c>
      <c r="B28" s="33" t="n">
        <v>46174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21" t="n">
        <v>7</v>
      </c>
      <c r="B29" s="33" t="n">
        <v>46204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21" t="n">
        <v>8</v>
      </c>
      <c r="B30" s="33" t="n">
        <v>46235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21" t="n">
        <v>9</v>
      </c>
      <c r="B31" s="33" t="n">
        <v>46266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21" t="n">
        <v>10</v>
      </c>
      <c r="B32" s="33" t="n">
        <v>46296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21" t="n">
        <v>11</v>
      </c>
      <c r="B33" s="33" t="n">
        <v>46327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4">
      <c r="A34" s="21" t="n">
        <v>12</v>
      </c>
      <c r="B34" s="33" t="n">
        <v>46357</v>
      </c>
      <c r="C34" s="13">
        <f>F33</f>
        <v/>
      </c>
      <c r="D34" s="13">
        <f>MAX(0,C34*$B$7/12)</f>
        <v/>
      </c>
      <c r="E34" s="13">
        <f>MAX(0,MIN(C34,$B$8-D34))</f>
        <v/>
      </c>
      <c r="F34" s="13">
        <f>MAX(0,C34-E34)</f>
        <v/>
      </c>
    </row>
    <row r="35">
      <c r="A35" s="21" t="n">
        <v>13</v>
      </c>
      <c r="B35" s="33" t="n">
        <v>46388</v>
      </c>
      <c r="C35" s="13">
        <f>F34</f>
        <v/>
      </c>
      <c r="D35" s="13">
        <f>MAX(0,C35*$B$7/12)</f>
        <v/>
      </c>
      <c r="E35" s="13">
        <f>MAX(0,MIN(C35,$B$8-D35))</f>
        <v/>
      </c>
      <c r="F35" s="13">
        <f>MAX(0,C35-E35)</f>
        <v/>
      </c>
    </row>
    <row r="36">
      <c r="A36" s="21" t="n">
        <v>14</v>
      </c>
      <c r="B36" s="33" t="n">
        <v>46419</v>
      </c>
      <c r="C36" s="13">
        <f>F35</f>
        <v/>
      </c>
      <c r="D36" s="13">
        <f>MAX(0,C36*$B$7/12)</f>
        <v/>
      </c>
      <c r="E36" s="13">
        <f>MAX(0,MIN(C36,$B$8-D36))</f>
        <v/>
      </c>
      <c r="F36" s="13">
        <f>MAX(0,C36-E36)</f>
        <v/>
      </c>
    </row>
    <row r="37">
      <c r="A37" s="21" t="n">
        <v>15</v>
      </c>
      <c r="B37" s="33" t="n">
        <v>46447</v>
      </c>
      <c r="C37" s="13">
        <f>F36</f>
        <v/>
      </c>
      <c r="D37" s="13">
        <f>MAX(0,C37*$B$7/12)</f>
        <v/>
      </c>
      <c r="E37" s="13">
        <f>MAX(0,MIN(C37,$B$8-D37))</f>
        <v/>
      </c>
      <c r="F37" s="13">
        <f>MAX(0,C37-E37)</f>
        <v/>
      </c>
    </row>
    <row r="38">
      <c r="A38" s="21" t="n">
        <v>16</v>
      </c>
      <c r="B38" s="33" t="n">
        <v>46478</v>
      </c>
      <c r="C38" s="13">
        <f>F37</f>
        <v/>
      </c>
      <c r="D38" s="13">
        <f>MAX(0,C38*$B$7/12)</f>
        <v/>
      </c>
      <c r="E38" s="13">
        <f>MAX(0,MIN(C38,$B$8-D38))</f>
        <v/>
      </c>
      <c r="F38" s="13">
        <f>MAX(0,C38-E38)</f>
        <v/>
      </c>
    </row>
    <row r="39">
      <c r="A39" s="21" t="n">
        <v>17</v>
      </c>
      <c r="B39" s="33" t="n">
        <v>46508</v>
      </c>
      <c r="C39" s="13">
        <f>F38</f>
        <v/>
      </c>
      <c r="D39" s="13">
        <f>MAX(0,C39*$B$7/12)</f>
        <v/>
      </c>
      <c r="E39" s="13">
        <f>MAX(0,MIN(C39,$B$8-D39))</f>
        <v/>
      </c>
      <c r="F39" s="13">
        <f>MAX(0,C39-E39)</f>
        <v/>
      </c>
    </row>
    <row r="40">
      <c r="A40" s="21" t="n">
        <v>18</v>
      </c>
      <c r="B40" s="33" t="n">
        <v>46539</v>
      </c>
      <c r="C40" s="13">
        <f>F39</f>
        <v/>
      </c>
      <c r="D40" s="13">
        <f>MAX(0,C40*$B$7/12)</f>
        <v/>
      </c>
      <c r="E40" s="13">
        <f>MAX(0,MIN(C40,$B$8-D40))</f>
        <v/>
      </c>
      <c r="F40" s="13">
        <f>MAX(0,C40-E40)</f>
        <v/>
      </c>
    </row>
    <row r="41">
      <c r="A41" s="21" t="n">
        <v>19</v>
      </c>
      <c r="B41" s="33" t="n">
        <v>46569</v>
      </c>
      <c r="C41" s="13">
        <f>F40</f>
        <v/>
      </c>
      <c r="D41" s="13">
        <f>MAX(0,C41*$B$7/12)</f>
        <v/>
      </c>
      <c r="E41" s="13">
        <f>MAX(0,MIN(C41,$B$8-D41))</f>
        <v/>
      </c>
      <c r="F41" s="13">
        <f>MAX(0,C41-E41)</f>
        <v/>
      </c>
    </row>
    <row r="42">
      <c r="A42" s="21" t="n">
        <v>20</v>
      </c>
      <c r="B42" s="33" t="n">
        <v>46600</v>
      </c>
      <c r="C42" s="13">
        <f>F41</f>
        <v/>
      </c>
      <c r="D42" s="13">
        <f>MAX(0,C42*$B$7/12)</f>
        <v/>
      </c>
      <c r="E42" s="13">
        <f>MAX(0,MIN(C42,$B$8-D42))</f>
        <v/>
      </c>
      <c r="F42" s="13">
        <f>MAX(0,C42-E42)</f>
        <v/>
      </c>
    </row>
    <row r="43">
      <c r="A43" s="21" t="n">
        <v>21</v>
      </c>
      <c r="B43" s="33" t="n">
        <v>46631</v>
      </c>
      <c r="C43" s="13">
        <f>F42</f>
        <v/>
      </c>
      <c r="D43" s="13">
        <f>MAX(0,C43*$B$7/12)</f>
        <v/>
      </c>
      <c r="E43" s="13">
        <f>MAX(0,MIN(C43,$B$8-D43))</f>
        <v/>
      </c>
      <c r="F43" s="13">
        <f>MAX(0,C43-E43)</f>
        <v/>
      </c>
    </row>
    <row r="44">
      <c r="A44" s="21" t="n">
        <v>22</v>
      </c>
      <c r="B44" s="33" t="n">
        <v>46661</v>
      </c>
      <c r="C44" s="13">
        <f>F43</f>
        <v/>
      </c>
      <c r="D44" s="13">
        <f>MAX(0,C44*$B$7/12)</f>
        <v/>
      </c>
      <c r="E44" s="13">
        <f>MAX(0,MIN(C44,$B$8-D44))</f>
        <v/>
      </c>
      <c r="F44" s="13">
        <f>MAX(0,C44-E44)</f>
        <v/>
      </c>
    </row>
    <row r="45">
      <c r="A45" s="21" t="n">
        <v>23</v>
      </c>
      <c r="B45" s="33" t="n">
        <v>46692</v>
      </c>
      <c r="C45" s="13">
        <f>F44</f>
        <v/>
      </c>
      <c r="D45" s="13">
        <f>MAX(0,C45*$B$7/12)</f>
        <v/>
      </c>
      <c r="E45" s="13">
        <f>MAX(0,MIN(C45,$B$8-D45))</f>
        <v/>
      </c>
      <c r="F45" s="13">
        <f>MAX(0,C45-E45)</f>
        <v/>
      </c>
    </row>
    <row r="46">
      <c r="A46" s="21" t="n">
        <v>24</v>
      </c>
      <c r="B46" s="33" t="n">
        <v>46722</v>
      </c>
      <c r="C46" s="13">
        <f>F45</f>
        <v/>
      </c>
      <c r="D46" s="13">
        <f>MAX(0,C46*$B$7/12)</f>
        <v/>
      </c>
      <c r="E46" s="13">
        <f>MAX(0,MIN(C46,$B$8-D46))</f>
        <v/>
      </c>
      <c r="F46" s="13">
        <f>MAX(0,C46-E46)</f>
        <v/>
      </c>
    </row>
    <row r="47">
      <c r="A47" s="21" t="n">
        <v>25</v>
      </c>
      <c r="B47" s="33" t="n">
        <v>46753</v>
      </c>
      <c r="C47" s="13">
        <f>F46</f>
        <v/>
      </c>
      <c r="D47" s="13">
        <f>MAX(0,C47*$B$7/12)</f>
        <v/>
      </c>
      <c r="E47" s="13">
        <f>MAX(0,MIN(C47,$B$8-D47))</f>
        <v/>
      </c>
      <c r="F47" s="13">
        <f>MAX(0,C47-E47)</f>
        <v/>
      </c>
    </row>
    <row r="48">
      <c r="A48" s="21" t="n">
        <v>26</v>
      </c>
      <c r="B48" s="33" t="n">
        <v>46784</v>
      </c>
      <c r="C48" s="13">
        <f>F47</f>
        <v/>
      </c>
      <c r="D48" s="13">
        <f>MAX(0,C48*$B$7/12)</f>
        <v/>
      </c>
      <c r="E48" s="13">
        <f>MAX(0,MIN(C48,$B$8-D48))</f>
        <v/>
      </c>
      <c r="F48" s="13">
        <f>MAX(0,C48-E48)</f>
        <v/>
      </c>
    </row>
    <row r="49">
      <c r="A49" s="21" t="n">
        <v>27</v>
      </c>
      <c r="B49" s="33" t="n">
        <v>46813</v>
      </c>
      <c r="C49" s="13">
        <f>F48</f>
        <v/>
      </c>
      <c r="D49" s="13">
        <f>MAX(0,C49*$B$7/12)</f>
        <v/>
      </c>
      <c r="E49" s="13">
        <f>MAX(0,MIN(C49,$B$8-D49))</f>
        <v/>
      </c>
      <c r="F49" s="13">
        <f>MAX(0,C49-E49)</f>
        <v/>
      </c>
    </row>
    <row r="50">
      <c r="A50" s="21" t="n">
        <v>28</v>
      </c>
      <c r="B50" s="33" t="n">
        <v>46844</v>
      </c>
      <c r="C50" s="13">
        <f>F49</f>
        <v/>
      </c>
      <c r="D50" s="13">
        <f>MAX(0,C50*$B$7/12)</f>
        <v/>
      </c>
      <c r="E50" s="13">
        <f>MAX(0,MIN(C50,$B$8-D50))</f>
        <v/>
      </c>
      <c r="F50" s="13">
        <f>MAX(0,C50-E50)</f>
        <v/>
      </c>
    </row>
    <row r="51">
      <c r="A51" s="21" t="n">
        <v>29</v>
      </c>
      <c r="B51" s="33" t="n">
        <v>46874</v>
      </c>
      <c r="C51" s="13">
        <f>F50</f>
        <v/>
      </c>
      <c r="D51" s="13">
        <f>MAX(0,C51*$B$7/12)</f>
        <v/>
      </c>
      <c r="E51" s="13">
        <f>MAX(0,MIN(C51,$B$8-D51))</f>
        <v/>
      </c>
      <c r="F51" s="13">
        <f>MAX(0,C51-E51)</f>
        <v/>
      </c>
    </row>
    <row r="52">
      <c r="A52" s="21" t="n">
        <v>30</v>
      </c>
      <c r="B52" s="33" t="n">
        <v>46905</v>
      </c>
      <c r="C52" s="13">
        <f>F51</f>
        <v/>
      </c>
      <c r="D52" s="13">
        <f>MAX(0,C52*$B$7/12)</f>
        <v/>
      </c>
      <c r="E52" s="13">
        <f>MAX(0,MIN(C52,$B$8-D52))</f>
        <v/>
      </c>
      <c r="F52" s="13">
        <f>MAX(0,C52-E52)</f>
        <v/>
      </c>
    </row>
    <row r="53">
      <c r="A53" s="21" t="n">
        <v>31</v>
      </c>
      <c r="B53" s="33" t="n">
        <v>46935</v>
      </c>
      <c r="C53" s="13">
        <f>F52</f>
        <v/>
      </c>
      <c r="D53" s="13">
        <f>MAX(0,C53*$B$7/12)</f>
        <v/>
      </c>
      <c r="E53" s="13">
        <f>MAX(0,MIN(C53,$B$8-D53))</f>
        <v/>
      </c>
      <c r="F53" s="13">
        <f>MAX(0,C53-E53)</f>
        <v/>
      </c>
    </row>
    <row r="54">
      <c r="A54" s="21" t="n">
        <v>32</v>
      </c>
      <c r="B54" s="33" t="n">
        <v>46966</v>
      </c>
      <c r="C54" s="13">
        <f>F53</f>
        <v/>
      </c>
      <c r="D54" s="13">
        <f>MAX(0,C54*$B$7/12)</f>
        <v/>
      </c>
      <c r="E54" s="13">
        <f>MAX(0,MIN(C54,$B$8-D54))</f>
        <v/>
      </c>
      <c r="F54" s="13">
        <f>MAX(0,C54-E54)</f>
        <v/>
      </c>
    </row>
    <row r="55">
      <c r="A55" s="21" t="n">
        <v>33</v>
      </c>
      <c r="B55" s="33" t="n">
        <v>46997</v>
      </c>
      <c r="C55" s="13">
        <f>F54</f>
        <v/>
      </c>
      <c r="D55" s="13">
        <f>MAX(0,C55*$B$7/12)</f>
        <v/>
      </c>
      <c r="E55" s="13">
        <f>MAX(0,MIN(C55,$B$8-D55))</f>
        <v/>
      </c>
      <c r="F55" s="13">
        <f>MAX(0,C55-E55)</f>
        <v/>
      </c>
    </row>
    <row r="58">
      <c r="A58" s="2" t="inlineStr">
        <is>
          <t>ANNUAL SUMMARY</t>
        </is>
      </c>
    </row>
    <row r="59">
      <c r="A59" s="30" t="inlineStr">
        <is>
          <t>Year</t>
        </is>
      </c>
      <c r="B59" s="30" t="inlineStr"/>
      <c r="C59" s="30" t="inlineStr">
        <is>
          <t>Opening</t>
        </is>
      </c>
      <c r="D59" s="30" t="inlineStr">
        <is>
          <t>Interest</t>
        </is>
      </c>
      <c r="E59" s="30" t="inlineStr">
        <is>
          <t>Principal</t>
        </is>
      </c>
      <c r="F59" s="30" t="inlineStr">
        <is>
          <t>Closing</t>
        </is>
      </c>
    </row>
    <row r="60">
      <c r="A60" s="21" t="n">
        <v>2026</v>
      </c>
      <c r="C60" s="13">
        <f>C23</f>
        <v/>
      </c>
      <c r="D60" s="13">
        <f>SUM(D23:D34)</f>
        <v/>
      </c>
      <c r="E60" s="13">
        <f>SUM(E23:E34)</f>
        <v/>
      </c>
      <c r="F60" s="13">
        <f>F34</f>
        <v/>
      </c>
    </row>
    <row r="61">
      <c r="A61" s="21" t="n">
        <v>2027</v>
      </c>
      <c r="C61" s="13">
        <f>C35</f>
        <v/>
      </c>
      <c r="D61" s="13">
        <f>SUM(D35:D46)</f>
        <v/>
      </c>
      <c r="E61" s="13">
        <f>SUM(E35:E46)</f>
        <v/>
      </c>
      <c r="F61" s="13">
        <f>F46</f>
        <v/>
      </c>
    </row>
    <row r="62">
      <c r="A62" s="21" t="n">
        <v>2028</v>
      </c>
      <c r="C62" s="13">
        <f>C47</f>
        <v/>
      </c>
      <c r="D62" s="13">
        <f>SUM(D47:D55)</f>
        <v/>
      </c>
      <c r="E62" s="13">
        <f>SUM(E47:E55)</f>
        <v/>
      </c>
      <c r="F62" s="13">
        <f>F55</f>
        <v/>
      </c>
    </row>
    <row r="65">
      <c r="A65" s="1" t="inlineStr">
        <is>
          <t>CURRENT BALANCE (for DS link):</t>
        </is>
      </c>
      <c r="B65" s="31">
        <f>F34</f>
        <v/>
      </c>
    </row>
  </sheetData>
  <mergeCells count="4">
    <mergeCell ref="A58:F58"/>
    <mergeCell ref="A1:F1"/>
    <mergeCell ref="A12:F12"/>
    <mergeCell ref="B18:F18"/>
  </mergeCells>
  <pageMargins left="0.75" right="0.75" top="1" bottom="1" header="0.5" footer="0.5"/>
  <legacyDrawing xmlns:r="http://schemas.openxmlformats.org/officeDocument/2006/relationships" r:id="anysvml"/>
</worksheet>
</file>

<file path=xl/worksheets/sheet26.xml><?xml version="1.0" encoding="utf-8"?>
<worksheet xmlns="http://schemas.openxmlformats.org/spreadsheetml/2006/main">
  <sheetPr>
    <tabColor rgb="00808080"/>
    <outlinePr summaryBelow="1" summaryRight="1"/>
    <pageSetUpPr/>
  </sheetPr>
  <dimension ref="A1:F66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PACCAR FINANCIAL - LOAN #14</t>
        </is>
      </c>
    </row>
    <row r="2">
      <c r="A2" t="inlineStr">
        <is>
          <t>Description:</t>
        </is>
      </c>
      <c r="B2" s="4" t="inlineStr">
        <is>
          <t>2 T680</t>
        </is>
      </c>
    </row>
    <row r="3">
      <c r="A3" t="inlineStr">
        <is>
          <t>Loan ID:</t>
        </is>
      </c>
      <c r="B3" t="inlineStr">
        <is>
          <t>05-2959-011-000-00</t>
        </is>
      </c>
    </row>
    <row r="4">
      <c r="A4" t="inlineStr">
        <is>
          <t>Loan Number:</t>
        </is>
      </c>
      <c r="B4" t="inlineStr">
        <is>
          <t>7380587</t>
        </is>
      </c>
    </row>
    <row r="5">
      <c r="A5" t="inlineStr">
        <is>
          <t>Collateral:</t>
        </is>
      </c>
      <c r="B5" t="inlineStr">
        <is>
          <t>Equipment - Semi Trucks</t>
        </is>
      </c>
    </row>
    <row r="6">
      <c r="A6" t="inlineStr">
        <is>
          <t>Opening Balance (12/31/25):</t>
        </is>
      </c>
      <c r="B6" s="26" t="n">
        <v>169761</v>
      </c>
    </row>
    <row r="7">
      <c r="A7" t="inlineStr">
        <is>
          <t>Annual Interest Rate:</t>
        </is>
      </c>
      <c r="B7" s="6" t="n">
        <v>0.0494</v>
      </c>
    </row>
    <row r="8">
      <c r="A8" t="inlineStr">
        <is>
          <t>Monthly Payment:</t>
        </is>
      </c>
      <c r="B8" s="26" t="n">
        <v>5632</v>
      </c>
    </row>
    <row r="9">
      <c r="A9" t="inlineStr">
        <is>
          <t>Origination Date:</t>
        </is>
      </c>
      <c r="B9" s="32" t="n">
        <v>44887</v>
      </c>
    </row>
    <row r="10">
      <c r="A10" t="inlineStr">
        <is>
          <t>Maturity Date:</t>
        </is>
      </c>
      <c r="B10" s="32" t="n">
        <v>47002</v>
      </c>
    </row>
    <row r="12">
      <c r="A12" s="8" t="inlineStr">
        <is>
          <t>AI ANALYSIS</t>
        </is>
      </c>
    </row>
    <row r="13">
      <c r="A13" t="inlineStr">
        <is>
          <t>Loan Type:</t>
        </is>
      </c>
      <c r="B13" s="9" t="inlineStr">
        <is>
          <t>AMORTIZING</t>
        </is>
      </c>
    </row>
    <row r="14">
      <c r="A14" t="inlineStr">
        <is>
          <t>Lender:</t>
        </is>
      </c>
      <c r="B14" s="9" t="inlineStr">
        <is>
          <t>Paccar Financial</t>
        </is>
      </c>
    </row>
    <row r="15">
      <c r="A15" t="inlineStr">
        <is>
          <t>Equipment Type:</t>
        </is>
      </c>
      <c r="B15" s="9" t="inlineStr">
        <is>
          <t>Semi Trucks (Kenworth/Peterbilt)</t>
        </is>
      </c>
    </row>
    <row r="16">
      <c r="A16" t="inlineStr">
        <is>
          <t>Original Balance:</t>
        </is>
      </c>
      <c r="B16" s="28" t="n">
        <v>319570</v>
      </c>
    </row>
    <row r="17">
      <c r="A17" t="inlineStr">
        <is>
          <t>Months Remaining (from 1/1/26):</t>
        </is>
      </c>
      <c r="B17" s="9" t="n">
        <v>32</v>
      </c>
    </row>
    <row r="18">
      <c r="A18" t="inlineStr">
        <is>
          <t>Amortization Notes:</t>
        </is>
      </c>
      <c r="B18" s="9" t="inlineStr">
        <is>
          <t>Standard equipment financing with fixed monthly payments. Interest calculated on declining balance.</t>
        </is>
      </c>
    </row>
    <row r="19">
      <c r="A19" t="inlineStr">
        <is>
          <t>Source Document:</t>
        </is>
      </c>
      <c r="B19" s="9" t="inlineStr">
        <is>
          <t>Meiborg_Debt_Schedule_202512.xlsx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21" t="n">
        <v>1</v>
      </c>
      <c r="B23" s="33" t="n">
        <v>46023</v>
      </c>
      <c r="C23" s="13">
        <f>$B$6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21" t="n">
        <v>2</v>
      </c>
      <c r="B24" s="33" t="n">
        <v>46054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21" t="n">
        <v>3</v>
      </c>
      <c r="B25" s="33" t="n">
        <v>46082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21" t="n">
        <v>4</v>
      </c>
      <c r="B26" s="33" t="n">
        <v>46113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21" t="n">
        <v>5</v>
      </c>
      <c r="B27" s="33" t="n">
        <v>46143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21" t="n">
        <v>6</v>
      </c>
      <c r="B28" s="33" t="n">
        <v>46174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21" t="n">
        <v>7</v>
      </c>
      <c r="B29" s="33" t="n">
        <v>46204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21" t="n">
        <v>8</v>
      </c>
      <c r="B30" s="33" t="n">
        <v>46235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21" t="n">
        <v>9</v>
      </c>
      <c r="B31" s="33" t="n">
        <v>46266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21" t="n">
        <v>10</v>
      </c>
      <c r="B32" s="33" t="n">
        <v>46296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21" t="n">
        <v>11</v>
      </c>
      <c r="B33" s="33" t="n">
        <v>46327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4">
      <c r="A34" s="21" t="n">
        <v>12</v>
      </c>
      <c r="B34" s="33" t="n">
        <v>46357</v>
      </c>
      <c r="C34" s="13">
        <f>F33</f>
        <v/>
      </c>
      <c r="D34" s="13">
        <f>MAX(0,C34*$B$7/12)</f>
        <v/>
      </c>
      <c r="E34" s="13">
        <f>MAX(0,MIN(C34,$B$8-D34))</f>
        <v/>
      </c>
      <c r="F34" s="13">
        <f>MAX(0,C34-E34)</f>
        <v/>
      </c>
    </row>
    <row r="35">
      <c r="A35" s="21" t="n">
        <v>13</v>
      </c>
      <c r="B35" s="33" t="n">
        <v>46388</v>
      </c>
      <c r="C35" s="13">
        <f>F34</f>
        <v/>
      </c>
      <c r="D35" s="13">
        <f>MAX(0,C35*$B$7/12)</f>
        <v/>
      </c>
      <c r="E35" s="13">
        <f>MAX(0,MIN(C35,$B$8-D35))</f>
        <v/>
      </c>
      <c r="F35" s="13">
        <f>MAX(0,C35-E35)</f>
        <v/>
      </c>
    </row>
    <row r="36">
      <c r="A36" s="21" t="n">
        <v>14</v>
      </c>
      <c r="B36" s="33" t="n">
        <v>46419</v>
      </c>
      <c r="C36" s="13">
        <f>F35</f>
        <v/>
      </c>
      <c r="D36" s="13">
        <f>MAX(0,C36*$B$7/12)</f>
        <v/>
      </c>
      <c r="E36" s="13">
        <f>MAX(0,MIN(C36,$B$8-D36))</f>
        <v/>
      </c>
      <c r="F36" s="13">
        <f>MAX(0,C36-E36)</f>
        <v/>
      </c>
    </row>
    <row r="37">
      <c r="A37" s="21" t="n">
        <v>15</v>
      </c>
      <c r="B37" s="33" t="n">
        <v>46447</v>
      </c>
      <c r="C37" s="13">
        <f>F36</f>
        <v/>
      </c>
      <c r="D37" s="13">
        <f>MAX(0,C37*$B$7/12)</f>
        <v/>
      </c>
      <c r="E37" s="13">
        <f>MAX(0,MIN(C37,$B$8-D37))</f>
        <v/>
      </c>
      <c r="F37" s="13">
        <f>MAX(0,C37-E37)</f>
        <v/>
      </c>
    </row>
    <row r="38">
      <c r="A38" s="21" t="n">
        <v>16</v>
      </c>
      <c r="B38" s="33" t="n">
        <v>46478</v>
      </c>
      <c r="C38" s="13">
        <f>F37</f>
        <v/>
      </c>
      <c r="D38" s="13">
        <f>MAX(0,C38*$B$7/12)</f>
        <v/>
      </c>
      <c r="E38" s="13">
        <f>MAX(0,MIN(C38,$B$8-D38))</f>
        <v/>
      </c>
      <c r="F38" s="13">
        <f>MAX(0,C38-E38)</f>
        <v/>
      </c>
    </row>
    <row r="39">
      <c r="A39" s="21" t="n">
        <v>17</v>
      </c>
      <c r="B39" s="33" t="n">
        <v>46508</v>
      </c>
      <c r="C39" s="13">
        <f>F38</f>
        <v/>
      </c>
      <c r="D39" s="13">
        <f>MAX(0,C39*$B$7/12)</f>
        <v/>
      </c>
      <c r="E39" s="13">
        <f>MAX(0,MIN(C39,$B$8-D39))</f>
        <v/>
      </c>
      <c r="F39" s="13">
        <f>MAX(0,C39-E39)</f>
        <v/>
      </c>
    </row>
    <row r="40">
      <c r="A40" s="21" t="n">
        <v>18</v>
      </c>
      <c r="B40" s="33" t="n">
        <v>46539</v>
      </c>
      <c r="C40" s="13">
        <f>F39</f>
        <v/>
      </c>
      <c r="D40" s="13">
        <f>MAX(0,C40*$B$7/12)</f>
        <v/>
      </c>
      <c r="E40" s="13">
        <f>MAX(0,MIN(C40,$B$8-D40))</f>
        <v/>
      </c>
      <c r="F40" s="13">
        <f>MAX(0,C40-E40)</f>
        <v/>
      </c>
    </row>
    <row r="41">
      <c r="A41" s="21" t="n">
        <v>19</v>
      </c>
      <c r="B41" s="33" t="n">
        <v>46569</v>
      </c>
      <c r="C41" s="13">
        <f>F40</f>
        <v/>
      </c>
      <c r="D41" s="13">
        <f>MAX(0,C41*$B$7/12)</f>
        <v/>
      </c>
      <c r="E41" s="13">
        <f>MAX(0,MIN(C41,$B$8-D41))</f>
        <v/>
      </c>
      <c r="F41" s="13">
        <f>MAX(0,C41-E41)</f>
        <v/>
      </c>
    </row>
    <row r="42">
      <c r="A42" s="21" t="n">
        <v>20</v>
      </c>
      <c r="B42" s="33" t="n">
        <v>46600</v>
      </c>
      <c r="C42" s="13">
        <f>F41</f>
        <v/>
      </c>
      <c r="D42" s="13">
        <f>MAX(0,C42*$B$7/12)</f>
        <v/>
      </c>
      <c r="E42" s="13">
        <f>MAX(0,MIN(C42,$B$8-D42))</f>
        <v/>
      </c>
      <c r="F42" s="13">
        <f>MAX(0,C42-E42)</f>
        <v/>
      </c>
    </row>
    <row r="43">
      <c r="A43" s="21" t="n">
        <v>21</v>
      </c>
      <c r="B43" s="33" t="n">
        <v>46631</v>
      </c>
      <c r="C43" s="13">
        <f>F42</f>
        <v/>
      </c>
      <c r="D43" s="13">
        <f>MAX(0,C43*$B$7/12)</f>
        <v/>
      </c>
      <c r="E43" s="13">
        <f>MAX(0,MIN(C43,$B$8-D43))</f>
        <v/>
      </c>
      <c r="F43" s="13">
        <f>MAX(0,C43-E43)</f>
        <v/>
      </c>
    </row>
    <row r="44">
      <c r="A44" s="21" t="n">
        <v>22</v>
      </c>
      <c r="B44" s="33" t="n">
        <v>46661</v>
      </c>
      <c r="C44" s="13">
        <f>F43</f>
        <v/>
      </c>
      <c r="D44" s="13">
        <f>MAX(0,C44*$B$7/12)</f>
        <v/>
      </c>
      <c r="E44" s="13">
        <f>MAX(0,MIN(C44,$B$8-D44))</f>
        <v/>
      </c>
      <c r="F44" s="13">
        <f>MAX(0,C44-E44)</f>
        <v/>
      </c>
    </row>
    <row r="45">
      <c r="A45" s="21" t="n">
        <v>23</v>
      </c>
      <c r="B45" s="33" t="n">
        <v>46692</v>
      </c>
      <c r="C45" s="13">
        <f>F44</f>
        <v/>
      </c>
      <c r="D45" s="13">
        <f>MAX(0,C45*$B$7/12)</f>
        <v/>
      </c>
      <c r="E45" s="13">
        <f>MAX(0,MIN(C45,$B$8-D45))</f>
        <v/>
      </c>
      <c r="F45" s="13">
        <f>MAX(0,C45-E45)</f>
        <v/>
      </c>
    </row>
    <row r="46">
      <c r="A46" s="21" t="n">
        <v>24</v>
      </c>
      <c r="B46" s="33" t="n">
        <v>46722</v>
      </c>
      <c r="C46" s="13">
        <f>F45</f>
        <v/>
      </c>
      <c r="D46" s="13">
        <f>MAX(0,C46*$B$7/12)</f>
        <v/>
      </c>
      <c r="E46" s="13">
        <f>MAX(0,MIN(C46,$B$8-D46))</f>
        <v/>
      </c>
      <c r="F46" s="13">
        <f>MAX(0,C46-E46)</f>
        <v/>
      </c>
    </row>
    <row r="47">
      <c r="A47" s="21" t="n">
        <v>25</v>
      </c>
      <c r="B47" s="33" t="n">
        <v>46753</v>
      </c>
      <c r="C47" s="13">
        <f>F46</f>
        <v/>
      </c>
      <c r="D47" s="13">
        <f>MAX(0,C47*$B$7/12)</f>
        <v/>
      </c>
      <c r="E47" s="13">
        <f>MAX(0,MIN(C47,$B$8-D47))</f>
        <v/>
      </c>
      <c r="F47" s="13">
        <f>MAX(0,C47-E47)</f>
        <v/>
      </c>
    </row>
    <row r="48">
      <c r="A48" s="21" t="n">
        <v>26</v>
      </c>
      <c r="B48" s="33" t="n">
        <v>46784</v>
      </c>
      <c r="C48" s="13">
        <f>F47</f>
        <v/>
      </c>
      <c r="D48" s="13">
        <f>MAX(0,C48*$B$7/12)</f>
        <v/>
      </c>
      <c r="E48" s="13">
        <f>MAX(0,MIN(C48,$B$8-D48))</f>
        <v/>
      </c>
      <c r="F48" s="13">
        <f>MAX(0,C48-E48)</f>
        <v/>
      </c>
    </row>
    <row r="49">
      <c r="A49" s="21" t="n">
        <v>27</v>
      </c>
      <c r="B49" s="33" t="n">
        <v>46813</v>
      </c>
      <c r="C49" s="13">
        <f>F48</f>
        <v/>
      </c>
      <c r="D49" s="13">
        <f>MAX(0,C49*$B$7/12)</f>
        <v/>
      </c>
      <c r="E49" s="13">
        <f>MAX(0,MIN(C49,$B$8-D49))</f>
        <v/>
      </c>
      <c r="F49" s="13">
        <f>MAX(0,C49-E49)</f>
        <v/>
      </c>
    </row>
    <row r="50">
      <c r="A50" s="21" t="n">
        <v>28</v>
      </c>
      <c r="B50" s="33" t="n">
        <v>46844</v>
      </c>
      <c r="C50" s="13">
        <f>F49</f>
        <v/>
      </c>
      <c r="D50" s="13">
        <f>MAX(0,C50*$B$7/12)</f>
        <v/>
      </c>
      <c r="E50" s="13">
        <f>MAX(0,MIN(C50,$B$8-D50))</f>
        <v/>
      </c>
      <c r="F50" s="13">
        <f>MAX(0,C50-E50)</f>
        <v/>
      </c>
    </row>
    <row r="51">
      <c r="A51" s="21" t="n">
        <v>29</v>
      </c>
      <c r="B51" s="33" t="n">
        <v>46874</v>
      </c>
      <c r="C51" s="13">
        <f>F50</f>
        <v/>
      </c>
      <c r="D51" s="13">
        <f>MAX(0,C51*$B$7/12)</f>
        <v/>
      </c>
      <c r="E51" s="13">
        <f>MAX(0,MIN(C51,$B$8-D51))</f>
        <v/>
      </c>
      <c r="F51" s="13">
        <f>MAX(0,C51-E51)</f>
        <v/>
      </c>
    </row>
    <row r="52">
      <c r="A52" s="21" t="n">
        <v>30</v>
      </c>
      <c r="B52" s="33" t="n">
        <v>46905</v>
      </c>
      <c r="C52" s="13">
        <f>F51</f>
        <v/>
      </c>
      <c r="D52" s="13">
        <f>MAX(0,C52*$B$7/12)</f>
        <v/>
      </c>
      <c r="E52" s="13">
        <f>MAX(0,MIN(C52,$B$8-D52))</f>
        <v/>
      </c>
      <c r="F52" s="13">
        <f>MAX(0,C52-E52)</f>
        <v/>
      </c>
    </row>
    <row r="53">
      <c r="A53" s="21" t="n">
        <v>31</v>
      </c>
      <c r="B53" s="33" t="n">
        <v>46935</v>
      </c>
      <c r="C53" s="13">
        <f>F52</f>
        <v/>
      </c>
      <c r="D53" s="13">
        <f>MAX(0,C53*$B$7/12)</f>
        <v/>
      </c>
      <c r="E53" s="13">
        <f>MAX(0,MIN(C53,$B$8-D53))</f>
        <v/>
      </c>
      <c r="F53" s="13">
        <f>MAX(0,C53-E53)</f>
        <v/>
      </c>
    </row>
    <row r="54">
      <c r="A54" s="21" t="n">
        <v>32</v>
      </c>
      <c r="B54" s="33" t="n">
        <v>46966</v>
      </c>
      <c r="C54" s="13">
        <f>F53</f>
        <v/>
      </c>
      <c r="D54" s="13">
        <f>MAX(0,C54*$B$7/12)</f>
        <v/>
      </c>
      <c r="E54" s="13">
        <f>MAX(0,MIN(C54,$B$8-D54))</f>
        <v/>
      </c>
      <c r="F54" s="13">
        <f>MAX(0,C54-E54)</f>
        <v/>
      </c>
    </row>
    <row r="55">
      <c r="A55" s="21" t="n">
        <v>33</v>
      </c>
      <c r="B55" s="33" t="n">
        <v>46997</v>
      </c>
      <c r="C55" s="13">
        <f>F54</f>
        <v/>
      </c>
      <c r="D55" s="13">
        <f>MAX(0,C55*$B$7/12)</f>
        <v/>
      </c>
      <c r="E55" s="13">
        <f>MAX(0,MIN(C55,$B$8-D55))</f>
        <v/>
      </c>
      <c r="F55" s="13">
        <f>MAX(0,C55-E55)</f>
        <v/>
      </c>
    </row>
    <row r="56">
      <c r="A56" s="21" t="n">
        <v>34</v>
      </c>
      <c r="B56" s="33" t="n">
        <v>47027</v>
      </c>
      <c r="C56" s="13">
        <f>F55</f>
        <v/>
      </c>
      <c r="D56" s="13">
        <f>MAX(0,C56*$B$7/12)</f>
        <v/>
      </c>
      <c r="E56" s="13">
        <f>MAX(0,MIN(C56,$B$8-D56))</f>
        <v/>
      </c>
      <c r="F56" s="13">
        <f>MAX(0,C56-E56)</f>
        <v/>
      </c>
    </row>
    <row r="59">
      <c r="A59" s="2" t="inlineStr">
        <is>
          <t>ANNUAL SUMMARY</t>
        </is>
      </c>
    </row>
    <row r="60">
      <c r="A60" s="30" t="inlineStr">
        <is>
          <t>Year</t>
        </is>
      </c>
      <c r="B60" s="30" t="inlineStr"/>
      <c r="C60" s="30" t="inlineStr">
        <is>
          <t>Opening</t>
        </is>
      </c>
      <c r="D60" s="30" t="inlineStr">
        <is>
          <t>Interest</t>
        </is>
      </c>
      <c r="E60" s="30" t="inlineStr">
        <is>
          <t>Principal</t>
        </is>
      </c>
      <c r="F60" s="30" t="inlineStr">
        <is>
          <t>Closing</t>
        </is>
      </c>
    </row>
    <row r="61">
      <c r="A61" s="21" t="n">
        <v>2026</v>
      </c>
      <c r="C61" s="13">
        <f>C23</f>
        <v/>
      </c>
      <c r="D61" s="13">
        <f>SUM(D23:D34)</f>
        <v/>
      </c>
      <c r="E61" s="13">
        <f>SUM(E23:E34)</f>
        <v/>
      </c>
      <c r="F61" s="13">
        <f>F34</f>
        <v/>
      </c>
    </row>
    <row r="62">
      <c r="A62" s="21" t="n">
        <v>2027</v>
      </c>
      <c r="C62" s="13">
        <f>C35</f>
        <v/>
      </c>
      <c r="D62" s="13">
        <f>SUM(D35:D46)</f>
        <v/>
      </c>
      <c r="E62" s="13">
        <f>SUM(E35:E46)</f>
        <v/>
      </c>
      <c r="F62" s="13">
        <f>F46</f>
        <v/>
      </c>
    </row>
    <row r="63">
      <c r="A63" s="21" t="n">
        <v>2028</v>
      </c>
      <c r="C63" s="13">
        <f>C47</f>
        <v/>
      </c>
      <c r="D63" s="13">
        <f>SUM(D47:D56)</f>
        <v/>
      </c>
      <c r="E63" s="13">
        <f>SUM(E47:E56)</f>
        <v/>
      </c>
      <c r="F63" s="13">
        <f>F56</f>
        <v/>
      </c>
    </row>
    <row r="66">
      <c r="A66" s="1" t="inlineStr">
        <is>
          <t>CURRENT BALANCE (for DS link):</t>
        </is>
      </c>
      <c r="B66" s="31">
        <f>F34</f>
        <v/>
      </c>
    </row>
  </sheetData>
  <mergeCells count="4">
    <mergeCell ref="A1:F1"/>
    <mergeCell ref="B18:F18"/>
    <mergeCell ref="A59:F59"/>
    <mergeCell ref="A12:F12"/>
  </mergeCells>
  <pageMargins left="0.75" right="0.75" top="1" bottom="1" header="0.5" footer="0.5"/>
  <legacyDrawing xmlns:r="http://schemas.openxmlformats.org/officeDocument/2006/relationships" r:id="anysvml"/>
</worksheet>
</file>

<file path=xl/worksheets/sheet27.xml><?xml version="1.0" encoding="utf-8"?>
<worksheet xmlns="http://schemas.openxmlformats.org/spreadsheetml/2006/main">
  <sheetPr>
    <tabColor rgb="00808080"/>
    <outlinePr summaryBelow="1" summaryRight="1"/>
    <pageSetUpPr/>
  </sheetPr>
  <dimension ref="A1:F66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PACCAR FINANCIAL - LOAN #15</t>
        </is>
      </c>
    </row>
    <row r="2">
      <c r="A2" t="inlineStr">
        <is>
          <t>Description:</t>
        </is>
      </c>
      <c r="B2" s="4" t="inlineStr">
        <is>
          <t>3 T680</t>
        </is>
      </c>
    </row>
    <row r="3">
      <c r="A3" t="inlineStr">
        <is>
          <t>Loan ID:</t>
        </is>
      </c>
      <c r="B3" t="inlineStr">
        <is>
          <t>05-2959-012-000-00</t>
        </is>
      </c>
    </row>
    <row r="4">
      <c r="A4" t="inlineStr">
        <is>
          <t>Loan Number:</t>
        </is>
      </c>
      <c r="B4" t="inlineStr">
        <is>
          <t>7382864</t>
        </is>
      </c>
    </row>
    <row r="5">
      <c r="A5" t="inlineStr">
        <is>
          <t>Collateral:</t>
        </is>
      </c>
      <c r="B5" t="inlineStr">
        <is>
          <t>Equipment - Semi Trucks</t>
        </is>
      </c>
    </row>
    <row r="6">
      <c r="A6" t="inlineStr">
        <is>
          <t>Opening Balance (12/31/25):</t>
        </is>
      </c>
      <c r="B6" s="26" t="n">
        <v>259405</v>
      </c>
    </row>
    <row r="7">
      <c r="A7" t="inlineStr">
        <is>
          <t>Annual Interest Rate:</t>
        </is>
      </c>
      <c r="B7" s="6" t="n">
        <v>0.0494</v>
      </c>
    </row>
    <row r="8">
      <c r="A8" t="inlineStr">
        <is>
          <t>Monthly Payment:</t>
        </is>
      </c>
      <c r="B8" s="26" t="n">
        <v>8444</v>
      </c>
    </row>
    <row r="9">
      <c r="A9" t="inlineStr">
        <is>
          <t>Origination Date:</t>
        </is>
      </c>
      <c r="B9" s="32" t="n">
        <v>44902</v>
      </c>
    </row>
    <row r="10">
      <c r="A10" t="inlineStr">
        <is>
          <t>Maturity Date:</t>
        </is>
      </c>
      <c r="B10" s="32" t="n">
        <v>47017</v>
      </c>
    </row>
    <row r="12">
      <c r="A12" s="8" t="inlineStr">
        <is>
          <t>AI ANALYSIS</t>
        </is>
      </c>
    </row>
    <row r="13">
      <c r="A13" t="inlineStr">
        <is>
          <t>Loan Type:</t>
        </is>
      </c>
      <c r="B13" s="9" t="inlineStr">
        <is>
          <t>AMORTIZING</t>
        </is>
      </c>
    </row>
    <row r="14">
      <c r="A14" t="inlineStr">
        <is>
          <t>Lender:</t>
        </is>
      </c>
      <c r="B14" s="9" t="inlineStr">
        <is>
          <t>Paccar Financial</t>
        </is>
      </c>
    </row>
    <row r="15">
      <c r="A15" t="inlineStr">
        <is>
          <t>Equipment Type:</t>
        </is>
      </c>
      <c r="B15" s="9" t="inlineStr">
        <is>
          <t>Semi Trucks (Kenworth/Peterbilt)</t>
        </is>
      </c>
    </row>
    <row r="16">
      <c r="A16" t="inlineStr">
        <is>
          <t>Original Balance:</t>
        </is>
      </c>
      <c r="B16" s="28" t="n">
        <v>479355</v>
      </c>
    </row>
    <row r="17">
      <c r="A17" t="inlineStr">
        <is>
          <t>Months Remaining (from 1/1/26):</t>
        </is>
      </c>
      <c r="B17" s="9" t="n">
        <v>32</v>
      </c>
    </row>
    <row r="18">
      <c r="A18" t="inlineStr">
        <is>
          <t>Amortization Notes:</t>
        </is>
      </c>
      <c r="B18" s="9" t="inlineStr">
        <is>
          <t>Standard equipment financing with fixed monthly payments. Interest calculated on declining balance.</t>
        </is>
      </c>
    </row>
    <row r="19">
      <c r="A19" t="inlineStr">
        <is>
          <t>Source Document:</t>
        </is>
      </c>
      <c r="B19" s="9" t="inlineStr">
        <is>
          <t>Meiborg_Debt_Schedule_202512.xlsx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21" t="n">
        <v>1</v>
      </c>
      <c r="B23" s="33" t="n">
        <v>46023</v>
      </c>
      <c r="C23" s="13">
        <f>$B$6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21" t="n">
        <v>2</v>
      </c>
      <c r="B24" s="33" t="n">
        <v>46054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21" t="n">
        <v>3</v>
      </c>
      <c r="B25" s="33" t="n">
        <v>46082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21" t="n">
        <v>4</v>
      </c>
      <c r="B26" s="33" t="n">
        <v>46113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21" t="n">
        <v>5</v>
      </c>
      <c r="B27" s="33" t="n">
        <v>46143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21" t="n">
        <v>6</v>
      </c>
      <c r="B28" s="33" t="n">
        <v>46174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21" t="n">
        <v>7</v>
      </c>
      <c r="B29" s="33" t="n">
        <v>46204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21" t="n">
        <v>8</v>
      </c>
      <c r="B30" s="33" t="n">
        <v>46235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21" t="n">
        <v>9</v>
      </c>
      <c r="B31" s="33" t="n">
        <v>46266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21" t="n">
        <v>10</v>
      </c>
      <c r="B32" s="33" t="n">
        <v>46296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21" t="n">
        <v>11</v>
      </c>
      <c r="B33" s="33" t="n">
        <v>46327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4">
      <c r="A34" s="21" t="n">
        <v>12</v>
      </c>
      <c r="B34" s="33" t="n">
        <v>46357</v>
      </c>
      <c r="C34" s="13">
        <f>F33</f>
        <v/>
      </c>
      <c r="D34" s="13">
        <f>MAX(0,C34*$B$7/12)</f>
        <v/>
      </c>
      <c r="E34" s="13">
        <f>MAX(0,MIN(C34,$B$8-D34))</f>
        <v/>
      </c>
      <c r="F34" s="13">
        <f>MAX(0,C34-E34)</f>
        <v/>
      </c>
    </row>
    <row r="35">
      <c r="A35" s="21" t="n">
        <v>13</v>
      </c>
      <c r="B35" s="33" t="n">
        <v>46388</v>
      </c>
      <c r="C35" s="13">
        <f>F34</f>
        <v/>
      </c>
      <c r="D35" s="13">
        <f>MAX(0,C35*$B$7/12)</f>
        <v/>
      </c>
      <c r="E35" s="13">
        <f>MAX(0,MIN(C35,$B$8-D35))</f>
        <v/>
      </c>
      <c r="F35" s="13">
        <f>MAX(0,C35-E35)</f>
        <v/>
      </c>
    </row>
    <row r="36">
      <c r="A36" s="21" t="n">
        <v>14</v>
      </c>
      <c r="B36" s="33" t="n">
        <v>46419</v>
      </c>
      <c r="C36" s="13">
        <f>F35</f>
        <v/>
      </c>
      <c r="D36" s="13">
        <f>MAX(0,C36*$B$7/12)</f>
        <v/>
      </c>
      <c r="E36" s="13">
        <f>MAX(0,MIN(C36,$B$8-D36))</f>
        <v/>
      </c>
      <c r="F36" s="13">
        <f>MAX(0,C36-E36)</f>
        <v/>
      </c>
    </row>
    <row r="37">
      <c r="A37" s="21" t="n">
        <v>15</v>
      </c>
      <c r="B37" s="33" t="n">
        <v>46447</v>
      </c>
      <c r="C37" s="13">
        <f>F36</f>
        <v/>
      </c>
      <c r="D37" s="13">
        <f>MAX(0,C37*$B$7/12)</f>
        <v/>
      </c>
      <c r="E37" s="13">
        <f>MAX(0,MIN(C37,$B$8-D37))</f>
        <v/>
      </c>
      <c r="F37" s="13">
        <f>MAX(0,C37-E37)</f>
        <v/>
      </c>
    </row>
    <row r="38">
      <c r="A38" s="21" t="n">
        <v>16</v>
      </c>
      <c r="B38" s="33" t="n">
        <v>46478</v>
      </c>
      <c r="C38" s="13">
        <f>F37</f>
        <v/>
      </c>
      <c r="D38" s="13">
        <f>MAX(0,C38*$B$7/12)</f>
        <v/>
      </c>
      <c r="E38" s="13">
        <f>MAX(0,MIN(C38,$B$8-D38))</f>
        <v/>
      </c>
      <c r="F38" s="13">
        <f>MAX(0,C38-E38)</f>
        <v/>
      </c>
    </row>
    <row r="39">
      <c r="A39" s="21" t="n">
        <v>17</v>
      </c>
      <c r="B39" s="33" t="n">
        <v>46508</v>
      </c>
      <c r="C39" s="13">
        <f>F38</f>
        <v/>
      </c>
      <c r="D39" s="13">
        <f>MAX(0,C39*$B$7/12)</f>
        <v/>
      </c>
      <c r="E39" s="13">
        <f>MAX(0,MIN(C39,$B$8-D39))</f>
        <v/>
      </c>
      <c r="F39" s="13">
        <f>MAX(0,C39-E39)</f>
        <v/>
      </c>
    </row>
    <row r="40">
      <c r="A40" s="21" t="n">
        <v>18</v>
      </c>
      <c r="B40" s="33" t="n">
        <v>46539</v>
      </c>
      <c r="C40" s="13">
        <f>F39</f>
        <v/>
      </c>
      <c r="D40" s="13">
        <f>MAX(0,C40*$B$7/12)</f>
        <v/>
      </c>
      <c r="E40" s="13">
        <f>MAX(0,MIN(C40,$B$8-D40))</f>
        <v/>
      </c>
      <c r="F40" s="13">
        <f>MAX(0,C40-E40)</f>
        <v/>
      </c>
    </row>
    <row r="41">
      <c r="A41" s="21" t="n">
        <v>19</v>
      </c>
      <c r="B41" s="33" t="n">
        <v>46569</v>
      </c>
      <c r="C41" s="13">
        <f>F40</f>
        <v/>
      </c>
      <c r="D41" s="13">
        <f>MAX(0,C41*$B$7/12)</f>
        <v/>
      </c>
      <c r="E41" s="13">
        <f>MAX(0,MIN(C41,$B$8-D41))</f>
        <v/>
      </c>
      <c r="F41" s="13">
        <f>MAX(0,C41-E41)</f>
        <v/>
      </c>
    </row>
    <row r="42">
      <c r="A42" s="21" t="n">
        <v>20</v>
      </c>
      <c r="B42" s="33" t="n">
        <v>46600</v>
      </c>
      <c r="C42" s="13">
        <f>F41</f>
        <v/>
      </c>
      <c r="D42" s="13">
        <f>MAX(0,C42*$B$7/12)</f>
        <v/>
      </c>
      <c r="E42" s="13">
        <f>MAX(0,MIN(C42,$B$8-D42))</f>
        <v/>
      </c>
      <c r="F42" s="13">
        <f>MAX(0,C42-E42)</f>
        <v/>
      </c>
    </row>
    <row r="43">
      <c r="A43" s="21" t="n">
        <v>21</v>
      </c>
      <c r="B43" s="33" t="n">
        <v>46631</v>
      </c>
      <c r="C43" s="13">
        <f>F42</f>
        <v/>
      </c>
      <c r="D43" s="13">
        <f>MAX(0,C43*$B$7/12)</f>
        <v/>
      </c>
      <c r="E43" s="13">
        <f>MAX(0,MIN(C43,$B$8-D43))</f>
        <v/>
      </c>
      <c r="F43" s="13">
        <f>MAX(0,C43-E43)</f>
        <v/>
      </c>
    </row>
    <row r="44">
      <c r="A44" s="21" t="n">
        <v>22</v>
      </c>
      <c r="B44" s="33" t="n">
        <v>46661</v>
      </c>
      <c r="C44" s="13">
        <f>F43</f>
        <v/>
      </c>
      <c r="D44" s="13">
        <f>MAX(0,C44*$B$7/12)</f>
        <v/>
      </c>
      <c r="E44" s="13">
        <f>MAX(0,MIN(C44,$B$8-D44))</f>
        <v/>
      </c>
      <c r="F44" s="13">
        <f>MAX(0,C44-E44)</f>
        <v/>
      </c>
    </row>
    <row r="45">
      <c r="A45" s="21" t="n">
        <v>23</v>
      </c>
      <c r="B45" s="33" t="n">
        <v>46692</v>
      </c>
      <c r="C45" s="13">
        <f>F44</f>
        <v/>
      </c>
      <c r="D45" s="13">
        <f>MAX(0,C45*$B$7/12)</f>
        <v/>
      </c>
      <c r="E45" s="13">
        <f>MAX(0,MIN(C45,$B$8-D45))</f>
        <v/>
      </c>
      <c r="F45" s="13">
        <f>MAX(0,C45-E45)</f>
        <v/>
      </c>
    </row>
    <row r="46">
      <c r="A46" s="21" t="n">
        <v>24</v>
      </c>
      <c r="B46" s="33" t="n">
        <v>46722</v>
      </c>
      <c r="C46" s="13">
        <f>F45</f>
        <v/>
      </c>
      <c r="D46" s="13">
        <f>MAX(0,C46*$B$7/12)</f>
        <v/>
      </c>
      <c r="E46" s="13">
        <f>MAX(0,MIN(C46,$B$8-D46))</f>
        <v/>
      </c>
      <c r="F46" s="13">
        <f>MAX(0,C46-E46)</f>
        <v/>
      </c>
    </row>
    <row r="47">
      <c r="A47" s="21" t="n">
        <v>25</v>
      </c>
      <c r="B47" s="33" t="n">
        <v>46753</v>
      </c>
      <c r="C47" s="13">
        <f>F46</f>
        <v/>
      </c>
      <c r="D47" s="13">
        <f>MAX(0,C47*$B$7/12)</f>
        <v/>
      </c>
      <c r="E47" s="13">
        <f>MAX(0,MIN(C47,$B$8-D47))</f>
        <v/>
      </c>
      <c r="F47" s="13">
        <f>MAX(0,C47-E47)</f>
        <v/>
      </c>
    </row>
    <row r="48">
      <c r="A48" s="21" t="n">
        <v>26</v>
      </c>
      <c r="B48" s="33" t="n">
        <v>46784</v>
      </c>
      <c r="C48" s="13">
        <f>F47</f>
        <v/>
      </c>
      <c r="D48" s="13">
        <f>MAX(0,C48*$B$7/12)</f>
        <v/>
      </c>
      <c r="E48" s="13">
        <f>MAX(0,MIN(C48,$B$8-D48))</f>
        <v/>
      </c>
      <c r="F48" s="13">
        <f>MAX(0,C48-E48)</f>
        <v/>
      </c>
    </row>
    <row r="49">
      <c r="A49" s="21" t="n">
        <v>27</v>
      </c>
      <c r="B49" s="33" t="n">
        <v>46813</v>
      </c>
      <c r="C49" s="13">
        <f>F48</f>
        <v/>
      </c>
      <c r="D49" s="13">
        <f>MAX(0,C49*$B$7/12)</f>
        <v/>
      </c>
      <c r="E49" s="13">
        <f>MAX(0,MIN(C49,$B$8-D49))</f>
        <v/>
      </c>
      <c r="F49" s="13">
        <f>MAX(0,C49-E49)</f>
        <v/>
      </c>
    </row>
    <row r="50">
      <c r="A50" s="21" t="n">
        <v>28</v>
      </c>
      <c r="B50" s="33" t="n">
        <v>46844</v>
      </c>
      <c r="C50" s="13">
        <f>F49</f>
        <v/>
      </c>
      <c r="D50" s="13">
        <f>MAX(0,C50*$B$7/12)</f>
        <v/>
      </c>
      <c r="E50" s="13">
        <f>MAX(0,MIN(C50,$B$8-D50))</f>
        <v/>
      </c>
      <c r="F50" s="13">
        <f>MAX(0,C50-E50)</f>
        <v/>
      </c>
    </row>
    <row r="51">
      <c r="A51" s="21" t="n">
        <v>29</v>
      </c>
      <c r="B51" s="33" t="n">
        <v>46874</v>
      </c>
      <c r="C51" s="13">
        <f>F50</f>
        <v/>
      </c>
      <c r="D51" s="13">
        <f>MAX(0,C51*$B$7/12)</f>
        <v/>
      </c>
      <c r="E51" s="13">
        <f>MAX(0,MIN(C51,$B$8-D51))</f>
        <v/>
      </c>
      <c r="F51" s="13">
        <f>MAX(0,C51-E51)</f>
        <v/>
      </c>
    </row>
    <row r="52">
      <c r="A52" s="21" t="n">
        <v>30</v>
      </c>
      <c r="B52" s="33" t="n">
        <v>46905</v>
      </c>
      <c r="C52" s="13">
        <f>F51</f>
        <v/>
      </c>
      <c r="D52" s="13">
        <f>MAX(0,C52*$B$7/12)</f>
        <v/>
      </c>
      <c r="E52" s="13">
        <f>MAX(0,MIN(C52,$B$8-D52))</f>
        <v/>
      </c>
      <c r="F52" s="13">
        <f>MAX(0,C52-E52)</f>
        <v/>
      </c>
    </row>
    <row r="53">
      <c r="A53" s="21" t="n">
        <v>31</v>
      </c>
      <c r="B53" s="33" t="n">
        <v>46935</v>
      </c>
      <c r="C53" s="13">
        <f>F52</f>
        <v/>
      </c>
      <c r="D53" s="13">
        <f>MAX(0,C53*$B$7/12)</f>
        <v/>
      </c>
      <c r="E53" s="13">
        <f>MAX(0,MIN(C53,$B$8-D53))</f>
        <v/>
      </c>
      <c r="F53" s="13">
        <f>MAX(0,C53-E53)</f>
        <v/>
      </c>
    </row>
    <row r="54">
      <c r="A54" s="21" t="n">
        <v>32</v>
      </c>
      <c r="B54" s="33" t="n">
        <v>46966</v>
      </c>
      <c r="C54" s="13">
        <f>F53</f>
        <v/>
      </c>
      <c r="D54" s="13">
        <f>MAX(0,C54*$B$7/12)</f>
        <v/>
      </c>
      <c r="E54" s="13">
        <f>MAX(0,MIN(C54,$B$8-D54))</f>
        <v/>
      </c>
      <c r="F54" s="13">
        <f>MAX(0,C54-E54)</f>
        <v/>
      </c>
    </row>
    <row r="55">
      <c r="A55" s="21" t="n">
        <v>33</v>
      </c>
      <c r="B55" s="33" t="n">
        <v>46997</v>
      </c>
      <c r="C55" s="13">
        <f>F54</f>
        <v/>
      </c>
      <c r="D55" s="13">
        <f>MAX(0,C55*$B$7/12)</f>
        <v/>
      </c>
      <c r="E55" s="13">
        <f>MAX(0,MIN(C55,$B$8-D55))</f>
        <v/>
      </c>
      <c r="F55" s="13">
        <f>MAX(0,C55-E55)</f>
        <v/>
      </c>
    </row>
    <row r="56">
      <c r="A56" s="21" t="n">
        <v>34</v>
      </c>
      <c r="B56" s="33" t="n">
        <v>47027</v>
      </c>
      <c r="C56" s="13">
        <f>F55</f>
        <v/>
      </c>
      <c r="D56" s="13">
        <f>MAX(0,C56*$B$7/12)</f>
        <v/>
      </c>
      <c r="E56" s="13">
        <f>MAX(0,MIN(C56,$B$8-D56))</f>
        <v/>
      </c>
      <c r="F56" s="13">
        <f>MAX(0,C56-E56)</f>
        <v/>
      </c>
    </row>
    <row r="59">
      <c r="A59" s="2" t="inlineStr">
        <is>
          <t>ANNUAL SUMMARY</t>
        </is>
      </c>
    </row>
    <row r="60">
      <c r="A60" s="30" t="inlineStr">
        <is>
          <t>Year</t>
        </is>
      </c>
      <c r="B60" s="30" t="inlineStr"/>
      <c r="C60" s="30" t="inlineStr">
        <is>
          <t>Opening</t>
        </is>
      </c>
      <c r="D60" s="30" t="inlineStr">
        <is>
          <t>Interest</t>
        </is>
      </c>
      <c r="E60" s="30" t="inlineStr">
        <is>
          <t>Principal</t>
        </is>
      </c>
      <c r="F60" s="30" t="inlineStr">
        <is>
          <t>Closing</t>
        </is>
      </c>
    </row>
    <row r="61">
      <c r="A61" s="21" t="n">
        <v>2026</v>
      </c>
      <c r="C61" s="13">
        <f>C23</f>
        <v/>
      </c>
      <c r="D61" s="13">
        <f>SUM(D23:D34)</f>
        <v/>
      </c>
      <c r="E61" s="13">
        <f>SUM(E23:E34)</f>
        <v/>
      </c>
      <c r="F61" s="13">
        <f>F34</f>
        <v/>
      </c>
    </row>
    <row r="62">
      <c r="A62" s="21" t="n">
        <v>2027</v>
      </c>
      <c r="C62" s="13">
        <f>C35</f>
        <v/>
      </c>
      <c r="D62" s="13">
        <f>SUM(D35:D46)</f>
        <v/>
      </c>
      <c r="E62" s="13">
        <f>SUM(E35:E46)</f>
        <v/>
      </c>
      <c r="F62" s="13">
        <f>F46</f>
        <v/>
      </c>
    </row>
    <row r="63">
      <c r="A63" s="21" t="n">
        <v>2028</v>
      </c>
      <c r="C63" s="13">
        <f>C47</f>
        <v/>
      </c>
      <c r="D63" s="13">
        <f>SUM(D47:D56)</f>
        <v/>
      </c>
      <c r="E63" s="13">
        <f>SUM(E47:E56)</f>
        <v/>
      </c>
      <c r="F63" s="13">
        <f>F56</f>
        <v/>
      </c>
    </row>
    <row r="66">
      <c r="A66" s="1" t="inlineStr">
        <is>
          <t>CURRENT BALANCE (for DS link):</t>
        </is>
      </c>
      <c r="B66" s="31">
        <f>F34</f>
        <v/>
      </c>
    </row>
  </sheetData>
  <mergeCells count="4">
    <mergeCell ref="A1:F1"/>
    <mergeCell ref="B18:F18"/>
    <mergeCell ref="A59:F59"/>
    <mergeCell ref="A12:F12"/>
  </mergeCells>
  <pageMargins left="0.75" right="0.75" top="1" bottom="1" header="0.5" footer="0.5"/>
  <legacyDrawing xmlns:r="http://schemas.openxmlformats.org/officeDocument/2006/relationships" r:id="anysvml"/>
</worksheet>
</file>

<file path=xl/worksheets/sheet28.xml><?xml version="1.0" encoding="utf-8"?>
<worksheet xmlns="http://schemas.openxmlformats.org/spreadsheetml/2006/main">
  <sheetPr>
    <tabColor rgb="00808080"/>
    <outlinePr summaryBelow="1" summaryRight="1"/>
    <pageSetUpPr/>
  </sheetPr>
  <dimension ref="A1:F66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PACCAR FINANCIAL - LOAN #16</t>
        </is>
      </c>
    </row>
    <row r="2">
      <c r="A2" t="inlineStr">
        <is>
          <t>Description:</t>
        </is>
      </c>
      <c r="B2" s="4" t="inlineStr">
        <is>
          <t>3 T680</t>
        </is>
      </c>
    </row>
    <row r="3">
      <c r="A3" t="inlineStr">
        <is>
          <t>Loan ID:</t>
        </is>
      </c>
      <c r="B3" t="inlineStr">
        <is>
          <t>05-2959-013-000-00</t>
        </is>
      </c>
    </row>
    <row r="4">
      <c r="A4" t="inlineStr">
        <is>
          <t>Loan Number:</t>
        </is>
      </c>
      <c r="B4" t="inlineStr">
        <is>
          <t>7383110</t>
        </is>
      </c>
    </row>
    <row r="5">
      <c r="A5" t="inlineStr">
        <is>
          <t>Collateral:</t>
        </is>
      </c>
      <c r="B5" t="inlineStr">
        <is>
          <t>Equipment - Semi Trucks</t>
        </is>
      </c>
    </row>
    <row r="6">
      <c r="A6" t="inlineStr">
        <is>
          <t>Opening Balance (12/31/25):</t>
        </is>
      </c>
      <c r="B6" s="26" t="n">
        <v>259053</v>
      </c>
    </row>
    <row r="7">
      <c r="A7" t="inlineStr">
        <is>
          <t>Annual Interest Rate:</t>
        </is>
      </c>
      <c r="B7" s="6" t="n">
        <v>0.0494</v>
      </c>
    </row>
    <row r="8">
      <c r="A8" t="inlineStr">
        <is>
          <t>Monthly Payment:</t>
        </is>
      </c>
      <c r="B8" s="26" t="n">
        <v>8444</v>
      </c>
    </row>
    <row r="9">
      <c r="A9" t="inlineStr">
        <is>
          <t>Origination Date:</t>
        </is>
      </c>
      <c r="B9" s="32" t="n">
        <v>44911</v>
      </c>
    </row>
    <row r="10">
      <c r="A10" t="inlineStr">
        <is>
          <t>Maturity Date:</t>
        </is>
      </c>
      <c r="B10" s="32" t="n">
        <v>47026</v>
      </c>
    </row>
    <row r="12">
      <c r="A12" s="8" t="inlineStr">
        <is>
          <t>AI ANALYSIS</t>
        </is>
      </c>
    </row>
    <row r="13">
      <c r="A13" t="inlineStr">
        <is>
          <t>Loan Type:</t>
        </is>
      </c>
      <c r="B13" s="9" t="inlineStr">
        <is>
          <t>AMORTIZING</t>
        </is>
      </c>
    </row>
    <row r="14">
      <c r="A14" t="inlineStr">
        <is>
          <t>Lender:</t>
        </is>
      </c>
      <c r="B14" s="9" t="inlineStr">
        <is>
          <t>Paccar Financial</t>
        </is>
      </c>
    </row>
    <row r="15">
      <c r="A15" t="inlineStr">
        <is>
          <t>Equipment Type:</t>
        </is>
      </c>
      <c r="B15" s="9" t="inlineStr">
        <is>
          <t>Semi Trucks (Kenworth/Peterbilt)</t>
        </is>
      </c>
    </row>
    <row r="16">
      <c r="A16" t="inlineStr">
        <is>
          <t>Original Balance:</t>
        </is>
      </c>
      <c r="B16" s="28" t="n">
        <v>479355</v>
      </c>
    </row>
    <row r="17">
      <c r="A17" t="inlineStr">
        <is>
          <t>Months Remaining (from 1/1/26):</t>
        </is>
      </c>
      <c r="B17" s="9" t="n">
        <v>32</v>
      </c>
    </row>
    <row r="18">
      <c r="A18" t="inlineStr">
        <is>
          <t>Amortization Notes:</t>
        </is>
      </c>
      <c r="B18" s="9" t="inlineStr">
        <is>
          <t>Standard equipment financing with fixed monthly payments. Interest calculated on declining balance.</t>
        </is>
      </c>
    </row>
    <row r="19">
      <c r="A19" t="inlineStr">
        <is>
          <t>Source Document:</t>
        </is>
      </c>
      <c r="B19" s="9" t="inlineStr">
        <is>
          <t>Meiborg_Debt_Schedule_202512.xlsx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21" t="n">
        <v>1</v>
      </c>
      <c r="B23" s="33" t="n">
        <v>46023</v>
      </c>
      <c r="C23" s="13">
        <f>$B$6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21" t="n">
        <v>2</v>
      </c>
      <c r="B24" s="33" t="n">
        <v>46054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21" t="n">
        <v>3</v>
      </c>
      <c r="B25" s="33" t="n">
        <v>46082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21" t="n">
        <v>4</v>
      </c>
      <c r="B26" s="33" t="n">
        <v>46113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21" t="n">
        <v>5</v>
      </c>
      <c r="B27" s="33" t="n">
        <v>46143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21" t="n">
        <v>6</v>
      </c>
      <c r="B28" s="33" t="n">
        <v>46174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21" t="n">
        <v>7</v>
      </c>
      <c r="B29" s="33" t="n">
        <v>46204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21" t="n">
        <v>8</v>
      </c>
      <c r="B30" s="33" t="n">
        <v>46235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21" t="n">
        <v>9</v>
      </c>
      <c r="B31" s="33" t="n">
        <v>46266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21" t="n">
        <v>10</v>
      </c>
      <c r="B32" s="33" t="n">
        <v>46296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21" t="n">
        <v>11</v>
      </c>
      <c r="B33" s="33" t="n">
        <v>46327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4">
      <c r="A34" s="21" t="n">
        <v>12</v>
      </c>
      <c r="B34" s="33" t="n">
        <v>46357</v>
      </c>
      <c r="C34" s="13">
        <f>F33</f>
        <v/>
      </c>
      <c r="D34" s="13">
        <f>MAX(0,C34*$B$7/12)</f>
        <v/>
      </c>
      <c r="E34" s="13">
        <f>MAX(0,MIN(C34,$B$8-D34))</f>
        <v/>
      </c>
      <c r="F34" s="13">
        <f>MAX(0,C34-E34)</f>
        <v/>
      </c>
    </row>
    <row r="35">
      <c r="A35" s="21" t="n">
        <v>13</v>
      </c>
      <c r="B35" s="33" t="n">
        <v>46388</v>
      </c>
      <c r="C35" s="13">
        <f>F34</f>
        <v/>
      </c>
      <c r="D35" s="13">
        <f>MAX(0,C35*$B$7/12)</f>
        <v/>
      </c>
      <c r="E35" s="13">
        <f>MAX(0,MIN(C35,$B$8-D35))</f>
        <v/>
      </c>
      <c r="F35" s="13">
        <f>MAX(0,C35-E35)</f>
        <v/>
      </c>
    </row>
    <row r="36">
      <c r="A36" s="21" t="n">
        <v>14</v>
      </c>
      <c r="B36" s="33" t="n">
        <v>46419</v>
      </c>
      <c r="C36" s="13">
        <f>F35</f>
        <v/>
      </c>
      <c r="D36" s="13">
        <f>MAX(0,C36*$B$7/12)</f>
        <v/>
      </c>
      <c r="E36" s="13">
        <f>MAX(0,MIN(C36,$B$8-D36))</f>
        <v/>
      </c>
      <c r="F36" s="13">
        <f>MAX(0,C36-E36)</f>
        <v/>
      </c>
    </row>
    <row r="37">
      <c r="A37" s="21" t="n">
        <v>15</v>
      </c>
      <c r="B37" s="33" t="n">
        <v>46447</v>
      </c>
      <c r="C37" s="13">
        <f>F36</f>
        <v/>
      </c>
      <c r="D37" s="13">
        <f>MAX(0,C37*$B$7/12)</f>
        <v/>
      </c>
      <c r="E37" s="13">
        <f>MAX(0,MIN(C37,$B$8-D37))</f>
        <v/>
      </c>
      <c r="F37" s="13">
        <f>MAX(0,C37-E37)</f>
        <v/>
      </c>
    </row>
    <row r="38">
      <c r="A38" s="21" t="n">
        <v>16</v>
      </c>
      <c r="B38" s="33" t="n">
        <v>46478</v>
      </c>
      <c r="C38" s="13">
        <f>F37</f>
        <v/>
      </c>
      <c r="D38" s="13">
        <f>MAX(0,C38*$B$7/12)</f>
        <v/>
      </c>
      <c r="E38" s="13">
        <f>MAX(0,MIN(C38,$B$8-D38))</f>
        <v/>
      </c>
      <c r="F38" s="13">
        <f>MAX(0,C38-E38)</f>
        <v/>
      </c>
    </row>
    <row r="39">
      <c r="A39" s="21" t="n">
        <v>17</v>
      </c>
      <c r="B39" s="33" t="n">
        <v>46508</v>
      </c>
      <c r="C39" s="13">
        <f>F38</f>
        <v/>
      </c>
      <c r="D39" s="13">
        <f>MAX(0,C39*$B$7/12)</f>
        <v/>
      </c>
      <c r="E39" s="13">
        <f>MAX(0,MIN(C39,$B$8-D39))</f>
        <v/>
      </c>
      <c r="F39" s="13">
        <f>MAX(0,C39-E39)</f>
        <v/>
      </c>
    </row>
    <row r="40">
      <c r="A40" s="21" t="n">
        <v>18</v>
      </c>
      <c r="B40" s="33" t="n">
        <v>46539</v>
      </c>
      <c r="C40" s="13">
        <f>F39</f>
        <v/>
      </c>
      <c r="D40" s="13">
        <f>MAX(0,C40*$B$7/12)</f>
        <v/>
      </c>
      <c r="E40" s="13">
        <f>MAX(0,MIN(C40,$B$8-D40))</f>
        <v/>
      </c>
      <c r="F40" s="13">
        <f>MAX(0,C40-E40)</f>
        <v/>
      </c>
    </row>
    <row r="41">
      <c r="A41" s="21" t="n">
        <v>19</v>
      </c>
      <c r="B41" s="33" t="n">
        <v>46569</v>
      </c>
      <c r="C41" s="13">
        <f>F40</f>
        <v/>
      </c>
      <c r="D41" s="13">
        <f>MAX(0,C41*$B$7/12)</f>
        <v/>
      </c>
      <c r="E41" s="13">
        <f>MAX(0,MIN(C41,$B$8-D41))</f>
        <v/>
      </c>
      <c r="F41" s="13">
        <f>MAX(0,C41-E41)</f>
        <v/>
      </c>
    </row>
    <row r="42">
      <c r="A42" s="21" t="n">
        <v>20</v>
      </c>
      <c r="B42" s="33" t="n">
        <v>46600</v>
      </c>
      <c r="C42" s="13">
        <f>F41</f>
        <v/>
      </c>
      <c r="D42" s="13">
        <f>MAX(0,C42*$B$7/12)</f>
        <v/>
      </c>
      <c r="E42" s="13">
        <f>MAX(0,MIN(C42,$B$8-D42))</f>
        <v/>
      </c>
      <c r="F42" s="13">
        <f>MAX(0,C42-E42)</f>
        <v/>
      </c>
    </row>
    <row r="43">
      <c r="A43" s="21" t="n">
        <v>21</v>
      </c>
      <c r="B43" s="33" t="n">
        <v>46631</v>
      </c>
      <c r="C43" s="13">
        <f>F42</f>
        <v/>
      </c>
      <c r="D43" s="13">
        <f>MAX(0,C43*$B$7/12)</f>
        <v/>
      </c>
      <c r="E43" s="13">
        <f>MAX(0,MIN(C43,$B$8-D43))</f>
        <v/>
      </c>
      <c r="F43" s="13">
        <f>MAX(0,C43-E43)</f>
        <v/>
      </c>
    </row>
    <row r="44">
      <c r="A44" s="21" t="n">
        <v>22</v>
      </c>
      <c r="B44" s="33" t="n">
        <v>46661</v>
      </c>
      <c r="C44" s="13">
        <f>F43</f>
        <v/>
      </c>
      <c r="D44" s="13">
        <f>MAX(0,C44*$B$7/12)</f>
        <v/>
      </c>
      <c r="E44" s="13">
        <f>MAX(0,MIN(C44,$B$8-D44))</f>
        <v/>
      </c>
      <c r="F44" s="13">
        <f>MAX(0,C44-E44)</f>
        <v/>
      </c>
    </row>
    <row r="45">
      <c r="A45" s="21" t="n">
        <v>23</v>
      </c>
      <c r="B45" s="33" t="n">
        <v>46692</v>
      </c>
      <c r="C45" s="13">
        <f>F44</f>
        <v/>
      </c>
      <c r="D45" s="13">
        <f>MAX(0,C45*$B$7/12)</f>
        <v/>
      </c>
      <c r="E45" s="13">
        <f>MAX(0,MIN(C45,$B$8-D45))</f>
        <v/>
      </c>
      <c r="F45" s="13">
        <f>MAX(0,C45-E45)</f>
        <v/>
      </c>
    </row>
    <row r="46">
      <c r="A46" s="21" t="n">
        <v>24</v>
      </c>
      <c r="B46" s="33" t="n">
        <v>46722</v>
      </c>
      <c r="C46" s="13">
        <f>F45</f>
        <v/>
      </c>
      <c r="D46" s="13">
        <f>MAX(0,C46*$B$7/12)</f>
        <v/>
      </c>
      <c r="E46" s="13">
        <f>MAX(0,MIN(C46,$B$8-D46))</f>
        <v/>
      </c>
      <c r="F46" s="13">
        <f>MAX(0,C46-E46)</f>
        <v/>
      </c>
    </row>
    <row r="47">
      <c r="A47" s="21" t="n">
        <v>25</v>
      </c>
      <c r="B47" s="33" t="n">
        <v>46753</v>
      </c>
      <c r="C47" s="13">
        <f>F46</f>
        <v/>
      </c>
      <c r="D47" s="13">
        <f>MAX(0,C47*$B$7/12)</f>
        <v/>
      </c>
      <c r="E47" s="13">
        <f>MAX(0,MIN(C47,$B$8-D47))</f>
        <v/>
      </c>
      <c r="F47" s="13">
        <f>MAX(0,C47-E47)</f>
        <v/>
      </c>
    </row>
    <row r="48">
      <c r="A48" s="21" t="n">
        <v>26</v>
      </c>
      <c r="B48" s="33" t="n">
        <v>46784</v>
      </c>
      <c r="C48" s="13">
        <f>F47</f>
        <v/>
      </c>
      <c r="D48" s="13">
        <f>MAX(0,C48*$B$7/12)</f>
        <v/>
      </c>
      <c r="E48" s="13">
        <f>MAX(0,MIN(C48,$B$8-D48))</f>
        <v/>
      </c>
      <c r="F48" s="13">
        <f>MAX(0,C48-E48)</f>
        <v/>
      </c>
    </row>
    <row r="49">
      <c r="A49" s="21" t="n">
        <v>27</v>
      </c>
      <c r="B49" s="33" t="n">
        <v>46813</v>
      </c>
      <c r="C49" s="13">
        <f>F48</f>
        <v/>
      </c>
      <c r="D49" s="13">
        <f>MAX(0,C49*$B$7/12)</f>
        <v/>
      </c>
      <c r="E49" s="13">
        <f>MAX(0,MIN(C49,$B$8-D49))</f>
        <v/>
      </c>
      <c r="F49" s="13">
        <f>MAX(0,C49-E49)</f>
        <v/>
      </c>
    </row>
    <row r="50">
      <c r="A50" s="21" t="n">
        <v>28</v>
      </c>
      <c r="B50" s="33" t="n">
        <v>46844</v>
      </c>
      <c r="C50" s="13">
        <f>F49</f>
        <v/>
      </c>
      <c r="D50" s="13">
        <f>MAX(0,C50*$B$7/12)</f>
        <v/>
      </c>
      <c r="E50" s="13">
        <f>MAX(0,MIN(C50,$B$8-D50))</f>
        <v/>
      </c>
      <c r="F50" s="13">
        <f>MAX(0,C50-E50)</f>
        <v/>
      </c>
    </row>
    <row r="51">
      <c r="A51" s="21" t="n">
        <v>29</v>
      </c>
      <c r="B51" s="33" t="n">
        <v>46874</v>
      </c>
      <c r="C51" s="13">
        <f>F50</f>
        <v/>
      </c>
      <c r="D51" s="13">
        <f>MAX(0,C51*$B$7/12)</f>
        <v/>
      </c>
      <c r="E51" s="13">
        <f>MAX(0,MIN(C51,$B$8-D51))</f>
        <v/>
      </c>
      <c r="F51" s="13">
        <f>MAX(0,C51-E51)</f>
        <v/>
      </c>
    </row>
    <row r="52">
      <c r="A52" s="21" t="n">
        <v>30</v>
      </c>
      <c r="B52" s="33" t="n">
        <v>46905</v>
      </c>
      <c r="C52" s="13">
        <f>F51</f>
        <v/>
      </c>
      <c r="D52" s="13">
        <f>MAX(0,C52*$B$7/12)</f>
        <v/>
      </c>
      <c r="E52" s="13">
        <f>MAX(0,MIN(C52,$B$8-D52))</f>
        <v/>
      </c>
      <c r="F52" s="13">
        <f>MAX(0,C52-E52)</f>
        <v/>
      </c>
    </row>
    <row r="53">
      <c r="A53" s="21" t="n">
        <v>31</v>
      </c>
      <c r="B53" s="33" t="n">
        <v>46935</v>
      </c>
      <c r="C53" s="13">
        <f>F52</f>
        <v/>
      </c>
      <c r="D53" s="13">
        <f>MAX(0,C53*$B$7/12)</f>
        <v/>
      </c>
      <c r="E53" s="13">
        <f>MAX(0,MIN(C53,$B$8-D53))</f>
        <v/>
      </c>
      <c r="F53" s="13">
        <f>MAX(0,C53-E53)</f>
        <v/>
      </c>
    </row>
    <row r="54">
      <c r="A54" s="21" t="n">
        <v>32</v>
      </c>
      <c r="B54" s="33" t="n">
        <v>46966</v>
      </c>
      <c r="C54" s="13">
        <f>F53</f>
        <v/>
      </c>
      <c r="D54" s="13">
        <f>MAX(0,C54*$B$7/12)</f>
        <v/>
      </c>
      <c r="E54" s="13">
        <f>MAX(0,MIN(C54,$B$8-D54))</f>
        <v/>
      </c>
      <c r="F54" s="13">
        <f>MAX(0,C54-E54)</f>
        <v/>
      </c>
    </row>
    <row r="55">
      <c r="A55" s="21" t="n">
        <v>33</v>
      </c>
      <c r="B55" s="33" t="n">
        <v>46997</v>
      </c>
      <c r="C55" s="13">
        <f>F54</f>
        <v/>
      </c>
      <c r="D55" s="13">
        <f>MAX(0,C55*$B$7/12)</f>
        <v/>
      </c>
      <c r="E55" s="13">
        <f>MAX(0,MIN(C55,$B$8-D55))</f>
        <v/>
      </c>
      <c r="F55" s="13">
        <f>MAX(0,C55-E55)</f>
        <v/>
      </c>
    </row>
    <row r="56">
      <c r="A56" s="21" t="n">
        <v>34</v>
      </c>
      <c r="B56" s="33" t="n">
        <v>47027</v>
      </c>
      <c r="C56" s="13">
        <f>F55</f>
        <v/>
      </c>
      <c r="D56" s="13">
        <f>MAX(0,C56*$B$7/12)</f>
        <v/>
      </c>
      <c r="E56" s="13">
        <f>MAX(0,MIN(C56,$B$8-D56))</f>
        <v/>
      </c>
      <c r="F56" s="13">
        <f>MAX(0,C56-E56)</f>
        <v/>
      </c>
    </row>
    <row r="59">
      <c r="A59" s="2" t="inlineStr">
        <is>
          <t>ANNUAL SUMMARY</t>
        </is>
      </c>
    </row>
    <row r="60">
      <c r="A60" s="30" t="inlineStr">
        <is>
          <t>Year</t>
        </is>
      </c>
      <c r="B60" s="30" t="inlineStr"/>
      <c r="C60" s="30" t="inlineStr">
        <is>
          <t>Opening</t>
        </is>
      </c>
      <c r="D60" s="30" t="inlineStr">
        <is>
          <t>Interest</t>
        </is>
      </c>
      <c r="E60" s="30" t="inlineStr">
        <is>
          <t>Principal</t>
        </is>
      </c>
      <c r="F60" s="30" t="inlineStr">
        <is>
          <t>Closing</t>
        </is>
      </c>
    </row>
    <row r="61">
      <c r="A61" s="21" t="n">
        <v>2026</v>
      </c>
      <c r="C61" s="13">
        <f>C23</f>
        <v/>
      </c>
      <c r="D61" s="13">
        <f>SUM(D23:D34)</f>
        <v/>
      </c>
      <c r="E61" s="13">
        <f>SUM(E23:E34)</f>
        <v/>
      </c>
      <c r="F61" s="13">
        <f>F34</f>
        <v/>
      </c>
    </row>
    <row r="62">
      <c r="A62" s="21" t="n">
        <v>2027</v>
      </c>
      <c r="C62" s="13">
        <f>C35</f>
        <v/>
      </c>
      <c r="D62" s="13">
        <f>SUM(D35:D46)</f>
        <v/>
      </c>
      <c r="E62" s="13">
        <f>SUM(E35:E46)</f>
        <v/>
      </c>
      <c r="F62" s="13">
        <f>F46</f>
        <v/>
      </c>
    </row>
    <row r="63">
      <c r="A63" s="21" t="n">
        <v>2028</v>
      </c>
      <c r="C63" s="13">
        <f>C47</f>
        <v/>
      </c>
      <c r="D63" s="13">
        <f>SUM(D47:D56)</f>
        <v/>
      </c>
      <c r="E63" s="13">
        <f>SUM(E47:E56)</f>
        <v/>
      </c>
      <c r="F63" s="13">
        <f>F56</f>
        <v/>
      </c>
    </row>
    <row r="66">
      <c r="A66" s="1" t="inlineStr">
        <is>
          <t>CURRENT BALANCE (for DS link):</t>
        </is>
      </c>
      <c r="B66" s="31">
        <f>F34</f>
        <v/>
      </c>
    </row>
  </sheetData>
  <mergeCells count="4">
    <mergeCell ref="A1:F1"/>
    <mergeCell ref="B18:F18"/>
    <mergeCell ref="A59:F59"/>
    <mergeCell ref="A12:F12"/>
  </mergeCells>
  <pageMargins left="0.75" right="0.75" top="1" bottom="1" header="0.5" footer="0.5"/>
  <legacyDrawing xmlns:r="http://schemas.openxmlformats.org/officeDocument/2006/relationships" r:id="anysvml"/>
</worksheet>
</file>

<file path=xl/worksheets/sheet29.xml><?xml version="1.0" encoding="utf-8"?>
<worksheet xmlns="http://schemas.openxmlformats.org/spreadsheetml/2006/main">
  <sheetPr>
    <tabColor rgb="00808080"/>
    <outlinePr summaryBelow="1" summaryRight="1"/>
    <pageSetUpPr/>
  </sheetPr>
  <dimension ref="A1:F64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PACCAR FINANCIAL - LOAN #17</t>
        </is>
      </c>
    </row>
    <row r="2">
      <c r="A2" t="inlineStr">
        <is>
          <t>Description:</t>
        </is>
      </c>
      <c r="B2" s="4" t="inlineStr">
        <is>
          <t>7 T680</t>
        </is>
      </c>
    </row>
    <row r="3">
      <c r="A3" t="inlineStr">
        <is>
          <t>Loan ID:</t>
        </is>
      </c>
      <c r="B3" t="inlineStr">
        <is>
          <t>05-2959-014-000-00</t>
        </is>
      </c>
    </row>
    <row r="4">
      <c r="A4" t="inlineStr">
        <is>
          <t>Loan Number:</t>
        </is>
      </c>
      <c r="B4" t="inlineStr">
        <is>
          <t>7411739</t>
        </is>
      </c>
    </row>
    <row r="5">
      <c r="A5" t="inlineStr">
        <is>
          <t>Collateral:</t>
        </is>
      </c>
      <c r="B5" t="inlineStr">
        <is>
          <t>Equipment - Semi Trucks</t>
        </is>
      </c>
    </row>
    <row r="6">
      <c r="A6" t="inlineStr">
        <is>
          <t>Opening Balance (12/31/25):</t>
        </is>
      </c>
      <c r="B6" s="26" t="n">
        <v>806693</v>
      </c>
    </row>
    <row r="7">
      <c r="A7" t="inlineStr">
        <is>
          <t>Annual Interest Rate:</t>
        </is>
      </c>
      <c r="B7" s="6" t="n">
        <v>0.0636</v>
      </c>
    </row>
    <row r="8">
      <c r="A8" t="inlineStr">
        <is>
          <t>Monthly Payment:</t>
        </is>
      </c>
      <c r="B8" s="26" t="n">
        <v>22964</v>
      </c>
    </row>
    <row r="9">
      <c r="A9" t="inlineStr">
        <is>
          <t>Origination Date:</t>
        </is>
      </c>
      <c r="B9" s="32" t="n">
        <v>45070</v>
      </c>
    </row>
    <row r="10">
      <c r="A10" t="inlineStr">
        <is>
          <t>Maturity Date:</t>
        </is>
      </c>
      <c r="B10" s="32" t="n">
        <v>46820</v>
      </c>
    </row>
    <row r="12">
      <c r="A12" s="8" t="inlineStr">
        <is>
          <t>AI ANALYSIS</t>
        </is>
      </c>
    </row>
    <row r="13">
      <c r="A13" t="inlineStr">
        <is>
          <t>Loan Type:</t>
        </is>
      </c>
      <c r="B13" s="9" t="inlineStr">
        <is>
          <t>AMORTIZING</t>
        </is>
      </c>
    </row>
    <row r="14">
      <c r="A14" t="inlineStr">
        <is>
          <t>Lender:</t>
        </is>
      </c>
      <c r="B14" s="9" t="inlineStr">
        <is>
          <t>Paccar Financial</t>
        </is>
      </c>
    </row>
    <row r="15">
      <c r="A15" t="inlineStr">
        <is>
          <t>Equipment Type:</t>
        </is>
      </c>
      <c r="B15" s="9" t="inlineStr">
        <is>
          <t>Semi Trucks (Kenworth/Peterbilt)</t>
        </is>
      </c>
    </row>
    <row r="16">
      <c r="A16" t="inlineStr">
        <is>
          <t>Original Balance:</t>
        </is>
      </c>
      <c r="B16" s="28" t="n">
        <v>1252080</v>
      </c>
    </row>
    <row r="17">
      <c r="A17" t="inlineStr">
        <is>
          <t>Months Remaining (from 1/1/26):</t>
        </is>
      </c>
      <c r="B17" s="9" t="n">
        <v>26</v>
      </c>
    </row>
    <row r="18">
      <c r="A18" t="inlineStr">
        <is>
          <t>Amortization Notes:</t>
        </is>
      </c>
      <c r="B18" s="9" t="inlineStr">
        <is>
          <t>Standard equipment financing with fixed monthly payments. Interest calculated on declining balance.</t>
        </is>
      </c>
    </row>
    <row r="19">
      <c r="A19" t="inlineStr">
        <is>
          <t>Source Document:</t>
        </is>
      </c>
      <c r="B19" s="9" t="inlineStr">
        <is>
          <t>Meiborg_Debt_Schedule_202512.xlsx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21" t="n">
        <v>1</v>
      </c>
      <c r="B23" s="33" t="n">
        <v>46023</v>
      </c>
      <c r="C23" s="13">
        <f>$B$6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21" t="n">
        <v>2</v>
      </c>
      <c r="B24" s="33" t="n">
        <v>46054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21" t="n">
        <v>3</v>
      </c>
      <c r="B25" s="33" t="n">
        <v>46082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21" t="n">
        <v>4</v>
      </c>
      <c r="B26" s="33" t="n">
        <v>46113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21" t="n">
        <v>5</v>
      </c>
      <c r="B27" s="33" t="n">
        <v>46143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21" t="n">
        <v>6</v>
      </c>
      <c r="B28" s="33" t="n">
        <v>46174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21" t="n">
        <v>7</v>
      </c>
      <c r="B29" s="33" t="n">
        <v>46204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21" t="n">
        <v>8</v>
      </c>
      <c r="B30" s="33" t="n">
        <v>46235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21" t="n">
        <v>9</v>
      </c>
      <c r="B31" s="33" t="n">
        <v>46266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21" t="n">
        <v>10</v>
      </c>
      <c r="B32" s="33" t="n">
        <v>46296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21" t="n">
        <v>11</v>
      </c>
      <c r="B33" s="33" t="n">
        <v>46327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4">
      <c r="A34" s="21" t="n">
        <v>12</v>
      </c>
      <c r="B34" s="33" t="n">
        <v>46357</v>
      </c>
      <c r="C34" s="13">
        <f>F33</f>
        <v/>
      </c>
      <c r="D34" s="13">
        <f>MAX(0,C34*$B$7/12)</f>
        <v/>
      </c>
      <c r="E34" s="13">
        <f>MAX(0,MIN(C34,$B$8-D34))</f>
        <v/>
      </c>
      <c r="F34" s="13">
        <f>MAX(0,C34-E34)</f>
        <v/>
      </c>
    </row>
    <row r="35">
      <c r="A35" s="21" t="n">
        <v>13</v>
      </c>
      <c r="B35" s="33" t="n">
        <v>46388</v>
      </c>
      <c r="C35" s="13">
        <f>F34</f>
        <v/>
      </c>
      <c r="D35" s="13">
        <f>MAX(0,C35*$B$7/12)</f>
        <v/>
      </c>
      <c r="E35" s="13">
        <f>MAX(0,MIN(C35,$B$8-D35))</f>
        <v/>
      </c>
      <c r="F35" s="13">
        <f>MAX(0,C35-E35)</f>
        <v/>
      </c>
    </row>
    <row r="36">
      <c r="A36" s="21" t="n">
        <v>14</v>
      </c>
      <c r="B36" s="33" t="n">
        <v>46419</v>
      </c>
      <c r="C36" s="13">
        <f>F35</f>
        <v/>
      </c>
      <c r="D36" s="13">
        <f>MAX(0,C36*$B$7/12)</f>
        <v/>
      </c>
      <c r="E36" s="13">
        <f>MAX(0,MIN(C36,$B$8-D36))</f>
        <v/>
      </c>
      <c r="F36" s="13">
        <f>MAX(0,C36-E36)</f>
        <v/>
      </c>
    </row>
    <row r="37">
      <c r="A37" s="21" t="n">
        <v>15</v>
      </c>
      <c r="B37" s="33" t="n">
        <v>46447</v>
      </c>
      <c r="C37" s="13">
        <f>F36</f>
        <v/>
      </c>
      <c r="D37" s="13">
        <f>MAX(0,C37*$B$7/12)</f>
        <v/>
      </c>
      <c r="E37" s="13">
        <f>MAX(0,MIN(C37,$B$8-D37))</f>
        <v/>
      </c>
      <c r="F37" s="13">
        <f>MAX(0,C37-E37)</f>
        <v/>
      </c>
    </row>
    <row r="38">
      <c r="A38" s="21" t="n">
        <v>16</v>
      </c>
      <c r="B38" s="33" t="n">
        <v>46478</v>
      </c>
      <c r="C38" s="13">
        <f>F37</f>
        <v/>
      </c>
      <c r="D38" s="13">
        <f>MAX(0,C38*$B$7/12)</f>
        <v/>
      </c>
      <c r="E38" s="13">
        <f>MAX(0,MIN(C38,$B$8-D38))</f>
        <v/>
      </c>
      <c r="F38" s="13">
        <f>MAX(0,C38-E38)</f>
        <v/>
      </c>
    </row>
    <row r="39">
      <c r="A39" s="21" t="n">
        <v>17</v>
      </c>
      <c r="B39" s="33" t="n">
        <v>46508</v>
      </c>
      <c r="C39" s="13">
        <f>F38</f>
        <v/>
      </c>
      <c r="D39" s="13">
        <f>MAX(0,C39*$B$7/12)</f>
        <v/>
      </c>
      <c r="E39" s="13">
        <f>MAX(0,MIN(C39,$B$8-D39))</f>
        <v/>
      </c>
      <c r="F39" s="13">
        <f>MAX(0,C39-E39)</f>
        <v/>
      </c>
    </row>
    <row r="40">
      <c r="A40" s="21" t="n">
        <v>18</v>
      </c>
      <c r="B40" s="33" t="n">
        <v>46539</v>
      </c>
      <c r="C40" s="13">
        <f>F39</f>
        <v/>
      </c>
      <c r="D40" s="13">
        <f>MAX(0,C40*$B$7/12)</f>
        <v/>
      </c>
      <c r="E40" s="13">
        <f>MAX(0,MIN(C40,$B$8-D40))</f>
        <v/>
      </c>
      <c r="F40" s="13">
        <f>MAX(0,C40-E40)</f>
        <v/>
      </c>
    </row>
    <row r="41">
      <c r="A41" s="21" t="n">
        <v>19</v>
      </c>
      <c r="B41" s="33" t="n">
        <v>46569</v>
      </c>
      <c r="C41" s="13">
        <f>F40</f>
        <v/>
      </c>
      <c r="D41" s="13">
        <f>MAX(0,C41*$B$7/12)</f>
        <v/>
      </c>
      <c r="E41" s="13">
        <f>MAX(0,MIN(C41,$B$8-D41))</f>
        <v/>
      </c>
      <c r="F41" s="13">
        <f>MAX(0,C41-E41)</f>
        <v/>
      </c>
    </row>
    <row r="42">
      <c r="A42" s="21" t="n">
        <v>20</v>
      </c>
      <c r="B42" s="33" t="n">
        <v>46600</v>
      </c>
      <c r="C42" s="13">
        <f>F41</f>
        <v/>
      </c>
      <c r="D42" s="13">
        <f>MAX(0,C42*$B$7/12)</f>
        <v/>
      </c>
      <c r="E42" s="13">
        <f>MAX(0,MIN(C42,$B$8-D42))</f>
        <v/>
      </c>
      <c r="F42" s="13">
        <f>MAX(0,C42-E42)</f>
        <v/>
      </c>
    </row>
    <row r="43">
      <c r="A43" s="21" t="n">
        <v>21</v>
      </c>
      <c r="B43" s="33" t="n">
        <v>46631</v>
      </c>
      <c r="C43" s="13">
        <f>F42</f>
        <v/>
      </c>
      <c r="D43" s="13">
        <f>MAX(0,C43*$B$7/12)</f>
        <v/>
      </c>
      <c r="E43" s="13">
        <f>MAX(0,MIN(C43,$B$8-D43))</f>
        <v/>
      </c>
      <c r="F43" s="13">
        <f>MAX(0,C43-E43)</f>
        <v/>
      </c>
    </row>
    <row r="44">
      <c r="A44" s="21" t="n">
        <v>22</v>
      </c>
      <c r="B44" s="33" t="n">
        <v>46661</v>
      </c>
      <c r="C44" s="13">
        <f>F43</f>
        <v/>
      </c>
      <c r="D44" s="13">
        <f>MAX(0,C44*$B$7/12)</f>
        <v/>
      </c>
      <c r="E44" s="13">
        <f>MAX(0,MIN(C44,$B$8-D44))</f>
        <v/>
      </c>
      <c r="F44" s="13">
        <f>MAX(0,C44-E44)</f>
        <v/>
      </c>
    </row>
    <row r="45">
      <c r="A45" s="21" t="n">
        <v>23</v>
      </c>
      <c r="B45" s="33" t="n">
        <v>46692</v>
      </c>
      <c r="C45" s="13">
        <f>F44</f>
        <v/>
      </c>
      <c r="D45" s="13">
        <f>MAX(0,C45*$B$7/12)</f>
        <v/>
      </c>
      <c r="E45" s="13">
        <f>MAX(0,MIN(C45,$B$8-D45))</f>
        <v/>
      </c>
      <c r="F45" s="13">
        <f>MAX(0,C45-E45)</f>
        <v/>
      </c>
    </row>
    <row r="46">
      <c r="A46" s="21" t="n">
        <v>24</v>
      </c>
      <c r="B46" s="33" t="n">
        <v>46722</v>
      </c>
      <c r="C46" s="13">
        <f>F45</f>
        <v/>
      </c>
      <c r="D46" s="13">
        <f>MAX(0,C46*$B$7/12)</f>
        <v/>
      </c>
      <c r="E46" s="13">
        <f>MAX(0,MIN(C46,$B$8-D46))</f>
        <v/>
      </c>
      <c r="F46" s="13">
        <f>MAX(0,C46-E46)</f>
        <v/>
      </c>
    </row>
    <row r="47">
      <c r="A47" s="21" t="n">
        <v>25</v>
      </c>
      <c r="B47" s="33" t="n">
        <v>46753</v>
      </c>
      <c r="C47" s="13">
        <f>F46</f>
        <v/>
      </c>
      <c r="D47" s="13">
        <f>MAX(0,C47*$B$7/12)</f>
        <v/>
      </c>
      <c r="E47" s="13">
        <f>MAX(0,MIN(C47,$B$8-D47))</f>
        <v/>
      </c>
      <c r="F47" s="13">
        <f>MAX(0,C47-E47)</f>
        <v/>
      </c>
    </row>
    <row r="48">
      <c r="A48" s="21" t="n">
        <v>26</v>
      </c>
      <c r="B48" s="33" t="n">
        <v>46784</v>
      </c>
      <c r="C48" s="13">
        <f>F47</f>
        <v/>
      </c>
      <c r="D48" s="13">
        <f>MAX(0,C48*$B$7/12)</f>
        <v/>
      </c>
      <c r="E48" s="13">
        <f>MAX(0,MIN(C48,$B$8-D48))</f>
        <v/>
      </c>
      <c r="F48" s="13">
        <f>MAX(0,C48-E48)</f>
        <v/>
      </c>
    </row>
    <row r="49">
      <c r="A49" s="21" t="n">
        <v>27</v>
      </c>
      <c r="B49" s="33" t="n">
        <v>46813</v>
      </c>
      <c r="C49" s="13">
        <f>F48</f>
        <v/>
      </c>
      <c r="D49" s="13">
        <f>MAX(0,C49*$B$7/12)</f>
        <v/>
      </c>
      <c r="E49" s="13">
        <f>MAX(0,MIN(C49,$B$8-D49))</f>
        <v/>
      </c>
      <c r="F49" s="13">
        <f>MAX(0,C49-E49)</f>
        <v/>
      </c>
    </row>
    <row r="50">
      <c r="A50" s="21" t="n">
        <v>28</v>
      </c>
      <c r="B50" s="33" t="n">
        <v>46844</v>
      </c>
      <c r="C50" s="13">
        <f>F49</f>
        <v/>
      </c>
      <c r="D50" s="13">
        <f>MAX(0,C50*$B$7/12)</f>
        <v/>
      </c>
      <c r="E50" s="13">
        <f>MAX(0,MIN(C50,$B$8-D50))</f>
        <v/>
      </c>
      <c r="F50" s="13">
        <f>MAX(0,C50-E50)</f>
        <v/>
      </c>
    </row>
    <row r="51">
      <c r="A51" s="21" t="n">
        <v>29</v>
      </c>
      <c r="B51" s="33" t="n">
        <v>46874</v>
      </c>
      <c r="C51" s="13">
        <f>F50</f>
        <v/>
      </c>
      <c r="D51" s="13">
        <f>MAX(0,C51*$B$7/12)</f>
        <v/>
      </c>
      <c r="E51" s="13">
        <f>MAX(0,MIN(C51,$B$8-D51))</f>
        <v/>
      </c>
      <c r="F51" s="13">
        <f>MAX(0,C51-E51)</f>
        <v/>
      </c>
    </row>
    <row r="52">
      <c r="A52" s="21" t="n">
        <v>30</v>
      </c>
      <c r="B52" s="33" t="n">
        <v>46905</v>
      </c>
      <c r="C52" s="13">
        <f>F51</f>
        <v/>
      </c>
      <c r="D52" s="13">
        <f>MAX(0,C52*$B$7/12)</f>
        <v/>
      </c>
      <c r="E52" s="13">
        <f>MAX(0,MIN(C52,$B$8-D52))</f>
        <v/>
      </c>
      <c r="F52" s="13">
        <f>MAX(0,C52-E52)</f>
        <v/>
      </c>
    </row>
    <row r="53">
      <c r="A53" s="21" t="n">
        <v>31</v>
      </c>
      <c r="B53" s="33" t="n">
        <v>46935</v>
      </c>
      <c r="C53" s="13">
        <f>F52</f>
        <v/>
      </c>
      <c r="D53" s="13">
        <f>MAX(0,C53*$B$7/12)</f>
        <v/>
      </c>
      <c r="E53" s="13">
        <f>MAX(0,MIN(C53,$B$8-D53))</f>
        <v/>
      </c>
      <c r="F53" s="13">
        <f>MAX(0,C53-E53)</f>
        <v/>
      </c>
    </row>
    <row r="54">
      <c r="A54" s="21" t="n">
        <v>32</v>
      </c>
      <c r="B54" s="33" t="n">
        <v>46966</v>
      </c>
      <c r="C54" s="13">
        <f>F53</f>
        <v/>
      </c>
      <c r="D54" s="13">
        <f>MAX(0,C54*$B$7/12)</f>
        <v/>
      </c>
      <c r="E54" s="13">
        <f>MAX(0,MIN(C54,$B$8-D54))</f>
        <v/>
      </c>
      <c r="F54" s="13">
        <f>MAX(0,C54-E54)</f>
        <v/>
      </c>
    </row>
    <row r="57">
      <c r="A57" s="2" t="inlineStr">
        <is>
          <t>ANNUAL SUMMARY</t>
        </is>
      </c>
    </row>
    <row r="58">
      <c r="A58" s="30" t="inlineStr">
        <is>
          <t>Year</t>
        </is>
      </c>
      <c r="B58" s="30" t="inlineStr"/>
      <c r="C58" s="30" t="inlineStr">
        <is>
          <t>Opening</t>
        </is>
      </c>
      <c r="D58" s="30" t="inlineStr">
        <is>
          <t>Interest</t>
        </is>
      </c>
      <c r="E58" s="30" t="inlineStr">
        <is>
          <t>Principal</t>
        </is>
      </c>
      <c r="F58" s="30" t="inlineStr">
        <is>
          <t>Closing</t>
        </is>
      </c>
    </row>
    <row r="59">
      <c r="A59" s="21" t="n">
        <v>2026</v>
      </c>
      <c r="C59" s="13">
        <f>C23</f>
        <v/>
      </c>
      <c r="D59" s="13">
        <f>SUM(D23:D34)</f>
        <v/>
      </c>
      <c r="E59" s="13">
        <f>SUM(E23:E34)</f>
        <v/>
      </c>
      <c r="F59" s="13">
        <f>F34</f>
        <v/>
      </c>
    </row>
    <row r="60">
      <c r="A60" s="21" t="n">
        <v>2027</v>
      </c>
      <c r="C60" s="13">
        <f>C35</f>
        <v/>
      </c>
      <c r="D60" s="13">
        <f>SUM(D35:D46)</f>
        <v/>
      </c>
      <c r="E60" s="13">
        <f>SUM(E35:E46)</f>
        <v/>
      </c>
      <c r="F60" s="13">
        <f>F46</f>
        <v/>
      </c>
    </row>
    <row r="61">
      <c r="A61" s="21" t="n">
        <v>2028</v>
      </c>
      <c r="C61" s="13">
        <f>C47</f>
        <v/>
      </c>
      <c r="D61" s="13">
        <f>SUM(D47:D54)</f>
        <v/>
      </c>
      <c r="E61" s="13">
        <f>SUM(E47:E54)</f>
        <v/>
      </c>
      <c r="F61" s="13">
        <f>F54</f>
        <v/>
      </c>
    </row>
    <row r="64">
      <c r="A64" s="1" t="inlineStr">
        <is>
          <t>CURRENT BALANCE (for DS link):</t>
        </is>
      </c>
      <c r="B64" s="31">
        <f>F34</f>
        <v/>
      </c>
    </row>
  </sheetData>
  <mergeCells count="4">
    <mergeCell ref="A1:F1"/>
    <mergeCell ref="A12:F12"/>
    <mergeCell ref="B18:F18"/>
    <mergeCell ref="A57:F57"/>
  </mergeCell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tabColor rgb="001B5E20"/>
    <outlinePr summaryBelow="1" summaryRight="1"/>
    <pageSetUpPr/>
  </sheetPr>
  <dimension ref="A1:H4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61" t="inlineStr">
        <is>
          <t>INCOME STATEMENT</t>
        </is>
      </c>
    </row>
    <row r="2">
      <c r="A2" s="62" t="inlineStr">
        <is>
          <t>Meiborg Companies, Inc.</t>
        </is>
      </c>
    </row>
    <row r="4">
      <c r="A4" s="63" t="inlineStr">
        <is>
          <t>Line Item</t>
        </is>
      </c>
      <c r="B4" s="63" t="inlineStr">
        <is>
          <t>2022A</t>
        </is>
      </c>
      <c r="C4" s="63" t="inlineStr">
        <is>
          <t>2023A</t>
        </is>
      </c>
      <c r="D4" s="63" t="inlineStr">
        <is>
          <t>2024A</t>
        </is>
      </c>
      <c r="E4" s="63" t="inlineStr">
        <is>
          <t>2025A</t>
        </is>
      </c>
      <c r="F4" s="63" t="inlineStr">
        <is>
          <t>2025E</t>
        </is>
      </c>
      <c r="G4" s="63" t="inlineStr">
        <is>
          <t>2026E</t>
        </is>
      </c>
      <c r="H4" s="63" t="inlineStr">
        <is>
          <t>2027E</t>
        </is>
      </c>
    </row>
    <row r="5">
      <c r="A5" s="2" t="inlineStr">
        <is>
          <t>REVENUE</t>
        </is>
      </c>
      <c r="B5" s="3" t="n"/>
      <c r="C5" s="3" t="n"/>
      <c r="D5" s="3" t="n"/>
      <c r="E5" s="3" t="n"/>
      <c r="F5" s="3" t="n"/>
      <c r="G5" s="3" t="n"/>
      <c r="H5" s="3" t="n"/>
    </row>
    <row r="6">
      <c r="A6" s="21" t="inlineStr">
        <is>
          <t>Total Revenue</t>
        </is>
      </c>
      <c r="B6" s="64">
        <f>90098437</f>
        <v/>
      </c>
      <c r="C6" s="64">
        <f>84111595</f>
        <v/>
      </c>
      <c r="D6" s="64">
        <f>86468002</f>
        <v/>
      </c>
      <c r="E6" s="64">
        <f>109431743</f>
        <v/>
      </c>
      <c r="F6" s="71">
        <f>Assumptions!D17</f>
        <v/>
      </c>
      <c r="G6" s="71">
        <f>Assumptions!E17</f>
        <v/>
      </c>
      <c r="H6" s="71">
        <f>Assumptions!F17</f>
        <v/>
      </c>
    </row>
    <row r="8">
      <c r="A8" s="2" t="inlineStr">
        <is>
          <t>COST OF GOODS SOLD</t>
        </is>
      </c>
      <c r="B8" s="3" t="n"/>
      <c r="C8" s="3" t="n"/>
      <c r="D8" s="3" t="n"/>
      <c r="E8" s="3" t="n"/>
      <c r="F8" s="3" t="n"/>
      <c r="G8" s="3" t="n"/>
      <c r="H8" s="3" t="n"/>
    </row>
    <row r="9">
      <c r="A9" s="21" t="inlineStr">
        <is>
          <t>Total COGS</t>
        </is>
      </c>
      <c r="B9" s="64">
        <f>-68296469</f>
        <v/>
      </c>
      <c r="C9" s="64">
        <f>-60352900</f>
        <v/>
      </c>
      <c r="D9" s="64">
        <f>-60010742</f>
        <v/>
      </c>
      <c r="E9" s="64">
        <f>-68461361</f>
        <v/>
      </c>
      <c r="F9" s="71">
        <f>F6*(Assumptions!D27-1)</f>
        <v/>
      </c>
      <c r="G9" s="71">
        <f>G6*(Assumptions!E27-1)</f>
        <v/>
      </c>
      <c r="H9" s="71">
        <f>H6*(Assumptions!F27-1)</f>
        <v/>
      </c>
    </row>
    <row r="10">
      <c r="A10" s="66" t="inlineStr">
        <is>
          <t>Gross Profit</t>
        </is>
      </c>
      <c r="B10" s="65">
        <f>B6+B9</f>
        <v/>
      </c>
      <c r="C10" s="65">
        <f>C6+C9</f>
        <v/>
      </c>
      <c r="D10" s="65">
        <f>D6+D9</f>
        <v/>
      </c>
      <c r="E10" s="65">
        <f>E6+E9</f>
        <v/>
      </c>
      <c r="F10" s="65">
        <f>F6+F9</f>
        <v/>
      </c>
      <c r="G10" s="65">
        <f>G6+G9</f>
        <v/>
      </c>
      <c r="H10" s="65">
        <f>H6+H9</f>
        <v/>
      </c>
    </row>
    <row r="12">
      <c r="A12" s="2" t="inlineStr">
        <is>
          <t>OPERATING EXPENSES</t>
        </is>
      </c>
      <c r="B12" s="3" t="n"/>
      <c r="C12" s="3" t="n"/>
      <c r="D12" s="3" t="n"/>
      <c r="E12" s="3" t="n"/>
      <c r="F12" s="3" t="n"/>
      <c r="G12" s="3" t="n"/>
      <c r="H12" s="3" t="n"/>
    </row>
    <row r="13">
      <c r="A13" s="21" t="inlineStr">
        <is>
          <t>Total Operating Expenses</t>
        </is>
      </c>
      <c r="B13" s="64">
        <f>-11700205</f>
        <v/>
      </c>
      <c r="C13" s="64">
        <f>-16619067</f>
        <v/>
      </c>
      <c r="D13" s="64">
        <f>-18105342</f>
        <v/>
      </c>
      <c r="E13" s="64">
        <f>-29829803</f>
        <v/>
      </c>
      <c r="F13" s="71">
        <f>-F6*Assumptions!D31</f>
        <v/>
      </c>
      <c r="G13" s="71">
        <f>-G6*Assumptions!E31</f>
        <v/>
      </c>
      <c r="H13" s="71">
        <f>-H6*Assumptions!F31</f>
        <v/>
      </c>
    </row>
    <row r="14">
      <c r="A14" s="66" t="inlineStr">
        <is>
          <t>EBITDA</t>
        </is>
      </c>
      <c r="B14" s="65">
        <f>B10+B13</f>
        <v/>
      </c>
      <c r="C14" s="65">
        <f>C10+C13</f>
        <v/>
      </c>
      <c r="D14" s="65">
        <f>D10+D13</f>
        <v/>
      </c>
      <c r="E14" s="65">
        <f>E10+E13</f>
        <v/>
      </c>
      <c r="F14" s="65">
        <f>F10+F13</f>
        <v/>
      </c>
      <c r="G14" s="65">
        <f>G10+G13</f>
        <v/>
      </c>
      <c r="H14" s="65">
        <f>H10+H13</f>
        <v/>
      </c>
    </row>
    <row r="16">
      <c r="A16" s="2" t="inlineStr">
        <is>
          <t>DEPRECIATION &amp; AMORTIZATION</t>
        </is>
      </c>
      <c r="B16" s="3" t="n"/>
      <c r="C16" s="3" t="n"/>
      <c r="D16" s="3" t="n"/>
      <c r="E16" s="3" t="n"/>
      <c r="F16" s="3" t="n"/>
      <c r="G16" s="3" t="n"/>
      <c r="H16" s="3" t="n"/>
    </row>
    <row r="17">
      <c r="A17" s="21" t="inlineStr">
        <is>
          <t>Depreciation &amp; Amortization</t>
        </is>
      </c>
      <c r="B17" s="64">
        <f>-6326608</f>
        <v/>
      </c>
      <c r="C17" s="64">
        <f>-7350697</f>
        <v/>
      </c>
      <c r="D17" s="64">
        <f>-8100634</f>
        <v/>
      </c>
      <c r="E17" s="64">
        <f>-8207235</f>
        <v/>
      </c>
      <c r="F17" s="71">
        <f>-Assumptions!D62</f>
        <v/>
      </c>
      <c r="G17" s="71">
        <f>-Assumptions!E62</f>
        <v/>
      </c>
      <c r="H17" s="71">
        <f>-Assumptions!F62</f>
        <v/>
      </c>
    </row>
    <row r="18">
      <c r="A18" s="66" t="inlineStr">
        <is>
          <t>EBIT</t>
        </is>
      </c>
      <c r="B18" s="65">
        <f>B14+B17</f>
        <v/>
      </c>
      <c r="C18" s="65">
        <f>C14+C17</f>
        <v/>
      </c>
      <c r="D18" s="65">
        <f>D14+D17</f>
        <v/>
      </c>
      <c r="E18" s="65">
        <f>E14+E17</f>
        <v/>
      </c>
      <c r="F18" s="65">
        <f>F14+F17</f>
        <v/>
      </c>
      <c r="G18" s="65">
        <f>G14+G17</f>
        <v/>
      </c>
      <c r="H18" s="65">
        <f>H14+H17</f>
        <v/>
      </c>
    </row>
    <row r="20">
      <c r="A20" s="2" t="inlineStr">
        <is>
          <t>OTHER INCOME / EXPENSE</t>
        </is>
      </c>
      <c r="B20" s="3" t="n"/>
      <c r="C20" s="3" t="n"/>
      <c r="D20" s="3" t="n"/>
      <c r="E20" s="3" t="n"/>
      <c r="F20" s="3" t="n"/>
      <c r="G20" s="3" t="n"/>
      <c r="H20" s="3" t="n"/>
    </row>
    <row r="21">
      <c r="A21" s="21" t="inlineStr">
        <is>
          <t>Interest Expense</t>
        </is>
      </c>
      <c r="B21" s="64">
        <f>-1341181</f>
        <v/>
      </c>
      <c r="C21" s="64">
        <f>-1883811</f>
        <v/>
      </c>
      <c r="D21" s="64">
        <f>-1992364</f>
        <v/>
      </c>
      <c r="E21" s="64">
        <f>-2443538</f>
        <v/>
      </c>
      <c r="F21" s="65">
        <f>E21*0.9</f>
        <v/>
      </c>
      <c r="G21" s="65">
        <f>F21*0.9</f>
        <v/>
      </c>
      <c r="H21" s="65">
        <f>G21*0.9</f>
        <v/>
      </c>
    </row>
    <row r="22">
      <c r="A22" s="21" t="inlineStr">
        <is>
          <t>Interest Income</t>
        </is>
      </c>
      <c r="B22" s="64">
        <f>45436</f>
        <v/>
      </c>
      <c r="C22" s="64">
        <f>24121</f>
        <v/>
      </c>
      <c r="D22" s="64">
        <f>24121</f>
        <v/>
      </c>
      <c r="E22" s="64">
        <f>35</f>
        <v/>
      </c>
      <c r="F22" s="65">
        <f>E22</f>
        <v/>
      </c>
      <c r="G22" s="65">
        <f>F22</f>
        <v/>
      </c>
      <c r="H22" s="65">
        <f>G22</f>
        <v/>
      </c>
    </row>
    <row r="23">
      <c r="A23" s="21" t="inlineStr">
        <is>
          <t>Other Income / (Expense)</t>
        </is>
      </c>
      <c r="B23" s="64">
        <f>94042</f>
        <v/>
      </c>
      <c r="C23" s="64">
        <f>25336</f>
        <v/>
      </c>
      <c r="D23" s="64">
        <f>25336</f>
        <v/>
      </c>
      <c r="E23" s="64">
        <f>34307</f>
        <v/>
      </c>
      <c r="F23" s="65">
        <f>E23</f>
        <v/>
      </c>
      <c r="G23" s="65">
        <f>F23</f>
        <v/>
      </c>
      <c r="H23" s="65">
        <f>G23</f>
        <v/>
      </c>
    </row>
    <row r="24">
      <c r="A24" s="21" t="inlineStr">
        <is>
          <t>Gain / (Loss) on Asset Sales</t>
        </is>
      </c>
      <c r="B24" s="64">
        <f>1378969</f>
        <v/>
      </c>
      <c r="C24" s="64">
        <f>4382200</f>
        <v/>
      </c>
      <c r="D24" s="64">
        <f>691022</f>
        <v/>
      </c>
      <c r="E24" s="64">
        <f>50113</f>
        <v/>
      </c>
      <c r="F24" s="65">
        <f>0</f>
        <v/>
      </c>
      <c r="G24" s="65">
        <f>0</f>
        <v/>
      </c>
      <c r="H24" s="65">
        <f>0</f>
        <v/>
      </c>
    </row>
    <row r="25">
      <c r="A25" s="66" t="inlineStr">
        <is>
          <t>Earnings Before Tax (EBT)</t>
        </is>
      </c>
      <c r="B25" s="65">
        <f>B18+B21+B22+B23+B24</f>
        <v/>
      </c>
      <c r="C25" s="65">
        <f>C18+C21+C22+C23+C24</f>
        <v/>
      </c>
      <c r="D25" s="65">
        <f>D18+D21+D22+D23+D24</f>
        <v/>
      </c>
      <c r="E25" s="65">
        <f>E18+E21+E22+E23+E24</f>
        <v/>
      </c>
      <c r="F25" s="65">
        <f>F18+F21+F22+F23+F24</f>
        <v/>
      </c>
      <c r="G25" s="65">
        <f>G18+G21+G22+G23+G24</f>
        <v/>
      </c>
      <c r="H25" s="65">
        <f>H18+H21+H22+H23+H24</f>
        <v/>
      </c>
    </row>
    <row r="27">
      <c r="A27" s="2" t="inlineStr">
        <is>
          <t>TAXES</t>
        </is>
      </c>
      <c r="B27" s="3" t="n"/>
      <c r="C27" s="3" t="n"/>
      <c r="D27" s="3" t="n"/>
      <c r="E27" s="3" t="n"/>
      <c r="F27" s="3" t="n"/>
      <c r="G27" s="3" t="n"/>
      <c r="H27" s="3" t="n"/>
    </row>
    <row r="28">
      <c r="A28" s="21" t="inlineStr">
        <is>
          <t>Income Taxes</t>
        </is>
      </c>
      <c r="B28" s="64">
        <f>0</f>
        <v/>
      </c>
      <c r="C28" s="64">
        <f>0</f>
        <v/>
      </c>
      <c r="D28" s="64">
        <f>0</f>
        <v/>
      </c>
      <c r="E28" s="64">
        <f>-1206</f>
        <v/>
      </c>
      <c r="F28" s="71">
        <f>-MAX(0,F25)*Assumptions!D60</f>
        <v/>
      </c>
      <c r="G28" s="71">
        <f>-MAX(0,G25)*Assumptions!E60</f>
        <v/>
      </c>
      <c r="H28" s="71">
        <f>-MAX(0,H25)*Assumptions!F60</f>
        <v/>
      </c>
    </row>
    <row r="29">
      <c r="A29" s="67" t="inlineStr">
        <is>
          <t>Net Income</t>
        </is>
      </c>
      <c r="B29" s="68">
        <f>B25+B28</f>
        <v/>
      </c>
      <c r="C29" s="68">
        <f>C25+C28</f>
        <v/>
      </c>
      <c r="D29" s="68">
        <f>D25+D28</f>
        <v/>
      </c>
      <c r="E29" s="68">
        <f>E25+E28</f>
        <v/>
      </c>
      <c r="F29" s="65">
        <f>F25+F28</f>
        <v/>
      </c>
      <c r="G29" s="65">
        <f>G25+G28</f>
        <v/>
      </c>
      <c r="H29" s="65">
        <f>H25+H28</f>
        <v/>
      </c>
    </row>
    <row r="32">
      <c r="A32" s="69" t="inlineStr">
        <is>
          <t>INTEREST EXPENSE REFERENCE</t>
        </is>
      </c>
      <c r="B32" s="70" t="n"/>
      <c r="C32" s="70" t="n"/>
      <c r="D32" s="70" t="n"/>
      <c r="E32" s="70" t="n"/>
      <c r="F32" s="70" t="n"/>
      <c r="G32" s="70" t="n"/>
      <c r="H32" s="70" t="n"/>
    </row>
    <row r="33">
      <c r="A33" s="21" t="inlineStr">
        <is>
          <t>Interest per Debt Schedule [-&gt; DS]</t>
        </is>
      </c>
      <c r="B33" s="71">
        <f>NA()</f>
        <v/>
      </c>
      <c r="C33" s="71">
        <f>NA()</f>
        <v/>
      </c>
      <c r="D33" s="71">
        <f>NA()</f>
        <v/>
      </c>
      <c r="E33" s="71">
        <f>'Debt Schedule'!F171</f>
        <v/>
      </c>
      <c r="F33" s="71">
        <f>NA()</f>
        <v/>
      </c>
      <c r="G33" s="71">
        <f>NA()</f>
        <v/>
      </c>
      <c r="H33" s="71">
        <f>NA()</f>
        <v/>
      </c>
    </row>
    <row r="34">
      <c r="A34" s="21" t="inlineStr">
        <is>
          <t>DS vs. Document Variance (must be 0)</t>
        </is>
      </c>
      <c r="B34" s="65">
        <f>B33-ABS(B21)</f>
        <v/>
      </c>
      <c r="C34" s="65">
        <f>C33-ABS(C21)</f>
        <v/>
      </c>
      <c r="D34" s="65">
        <f>D33-ABS(D21)</f>
        <v/>
      </c>
      <c r="E34" s="65">
        <f>E33-ABS(E21)</f>
        <v/>
      </c>
      <c r="F34" s="65">
        <f>F33-ABS(F21)</f>
        <v/>
      </c>
      <c r="G34" s="65">
        <f>G33-ABS(G21)</f>
        <v/>
      </c>
      <c r="H34" s="65">
        <f>H33-ABS(H21)</f>
        <v/>
      </c>
    </row>
    <row r="37">
      <c r="A37" s="2" t="inlineStr">
        <is>
          <t>ANALYST REFERENCE</t>
        </is>
      </c>
      <c r="B37" s="9" t="n"/>
      <c r="C37" s="9" t="n"/>
      <c r="D37" s="9" t="n"/>
      <c r="E37" s="9" t="n"/>
      <c r="F37" s="9" t="n"/>
      <c r="G37" s="9" t="n"/>
      <c r="H37" s="9" t="n"/>
    </row>
    <row r="38">
      <c r="A38" s="72" t="inlineStr">
        <is>
          <t>EBITDA Margin %</t>
        </is>
      </c>
      <c r="B38" s="73">
        <f>IF(B6=0,0,B14/B6)</f>
        <v/>
      </c>
      <c r="C38" s="73">
        <f>IF(C6=0,0,C14/C6)</f>
        <v/>
      </c>
      <c r="D38" s="73">
        <f>IF(D6=0,0,D14/D6)</f>
        <v/>
      </c>
      <c r="E38" s="73">
        <f>IF(E6=0,0,E14/E6)</f>
        <v/>
      </c>
      <c r="F38" s="73">
        <f>IF(F6=0,0,F14/F6)</f>
        <v/>
      </c>
      <c r="G38" s="73">
        <f>IF(G6=0,0,G14/G6)</f>
        <v/>
      </c>
      <c r="H38" s="73">
        <f>IF(H6=0,0,H14/H6)</f>
        <v/>
      </c>
    </row>
    <row r="39">
      <c r="A39" s="72" t="inlineStr">
        <is>
          <t>Net Income per Source (validation)</t>
        </is>
      </c>
      <c r="B39" s="74">
        <f>3608531</f>
        <v/>
      </c>
      <c r="C39" s="74">
        <f>2426799</f>
        <v/>
      </c>
      <c r="D39" s="74">
        <f>-1000601</f>
        <v/>
      </c>
      <c r="E39" s="74">
        <f>575466</f>
        <v/>
      </c>
      <c r="F39" s="75">
        <f>NA()</f>
        <v/>
      </c>
      <c r="G39" s="75">
        <f>NA()</f>
        <v/>
      </c>
      <c r="H39" s="75">
        <f>NA()</f>
        <v/>
      </c>
    </row>
    <row r="40">
      <c r="A40" s="72" t="inlineStr">
        <is>
          <t>Net Income Variance (must be 0)</t>
        </is>
      </c>
      <c r="B40" s="75">
        <f>B29-B39</f>
        <v/>
      </c>
      <c r="C40" s="75">
        <f>C29-C39</f>
        <v/>
      </c>
      <c r="D40" s="75">
        <f>D29-D39</f>
        <v/>
      </c>
      <c r="E40" s="75">
        <f>E29-E39</f>
        <v/>
      </c>
      <c r="F40" s="75">
        <f>NA()</f>
        <v/>
      </c>
      <c r="G40" s="75">
        <f>NA()</f>
        <v/>
      </c>
      <c r="H40" s="75">
        <f>NA()</f>
        <v/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30.xml><?xml version="1.0" encoding="utf-8"?>
<worksheet xmlns="http://schemas.openxmlformats.org/spreadsheetml/2006/main">
  <sheetPr>
    <tabColor rgb="00808080"/>
    <outlinePr summaryBelow="1" summaryRight="1"/>
    <pageSetUpPr/>
  </sheetPr>
  <dimension ref="A1:F72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PACCAR FINANCIAL - LOAN #18</t>
        </is>
      </c>
    </row>
    <row r="2">
      <c r="A2" t="inlineStr">
        <is>
          <t>Description:</t>
        </is>
      </c>
      <c r="B2" s="4" t="inlineStr">
        <is>
          <t>2 T680</t>
        </is>
      </c>
    </row>
    <row r="3">
      <c r="A3" t="inlineStr">
        <is>
          <t>Loan ID:</t>
        </is>
      </c>
      <c r="B3" t="inlineStr">
        <is>
          <t>05-2959-015-000-00</t>
        </is>
      </c>
    </row>
    <row r="4">
      <c r="A4" t="inlineStr">
        <is>
          <t>Loan Number:</t>
        </is>
      </c>
      <c r="B4" t="inlineStr">
        <is>
          <t>7414923</t>
        </is>
      </c>
    </row>
    <row r="5">
      <c r="A5" t="inlineStr">
        <is>
          <t>Collateral:</t>
        </is>
      </c>
      <c r="B5" t="inlineStr">
        <is>
          <t>Equipment - Semi Trucks</t>
        </is>
      </c>
    </row>
    <row r="6">
      <c r="A6" t="inlineStr">
        <is>
          <t>Opening Balance (12/31/25):</t>
        </is>
      </c>
      <c r="B6" s="26" t="n">
        <v>226356</v>
      </c>
    </row>
    <row r="7">
      <c r="A7" t="inlineStr">
        <is>
          <t>Annual Interest Rate:</t>
        </is>
      </c>
      <c r="B7" s="6" t="n">
        <v>0.065</v>
      </c>
    </row>
    <row r="8">
      <c r="A8" t="inlineStr">
        <is>
          <t>Monthly Payment:</t>
        </is>
      </c>
      <c r="B8" s="26" t="n">
        <v>6611</v>
      </c>
    </row>
    <row r="9">
      <c r="A9" t="inlineStr">
        <is>
          <t>Origination Date:</t>
        </is>
      </c>
      <c r="B9" s="32" t="n">
        <v>45085</v>
      </c>
    </row>
    <row r="10">
      <c r="A10" t="inlineStr">
        <is>
          <t>Maturity Date:</t>
        </is>
      </c>
      <c r="B10" s="32" t="n">
        <v>47200</v>
      </c>
    </row>
    <row r="12">
      <c r="A12" s="8" t="inlineStr">
        <is>
          <t>AI ANALYSIS</t>
        </is>
      </c>
    </row>
    <row r="13">
      <c r="A13" t="inlineStr">
        <is>
          <t>Loan Type:</t>
        </is>
      </c>
      <c r="B13" s="9" t="inlineStr">
        <is>
          <t>AMORTIZING</t>
        </is>
      </c>
    </row>
    <row r="14">
      <c r="A14" t="inlineStr">
        <is>
          <t>Lender:</t>
        </is>
      </c>
      <c r="B14" s="9" t="inlineStr">
        <is>
          <t>Paccar Financial</t>
        </is>
      </c>
    </row>
    <row r="15">
      <c r="A15" t="inlineStr">
        <is>
          <t>Equipment Type:</t>
        </is>
      </c>
      <c r="B15" s="9" t="inlineStr">
        <is>
          <t>Semi Trucks (Kenworth/Peterbilt)</t>
        </is>
      </c>
    </row>
    <row r="16">
      <c r="A16" t="inlineStr">
        <is>
          <t>Original Balance:</t>
        </is>
      </c>
      <c r="B16" s="28" t="n">
        <v>358370</v>
      </c>
    </row>
    <row r="17">
      <c r="A17" t="inlineStr">
        <is>
          <t>Months Remaining (from 1/1/26):</t>
        </is>
      </c>
      <c r="B17" s="9" t="n">
        <v>38</v>
      </c>
    </row>
    <row r="18">
      <c r="A18" t="inlineStr">
        <is>
          <t>Amortization Notes:</t>
        </is>
      </c>
      <c r="B18" s="9" t="inlineStr">
        <is>
          <t>Standard equipment financing with fixed monthly payments. Interest calculated on declining balance.</t>
        </is>
      </c>
    </row>
    <row r="19">
      <c r="A19" t="inlineStr">
        <is>
          <t>Source Document:</t>
        </is>
      </c>
      <c r="B19" s="9" t="inlineStr">
        <is>
          <t>Meiborg_Debt_Schedule_202512.xlsx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21" t="n">
        <v>1</v>
      </c>
      <c r="B23" s="33" t="n">
        <v>46023</v>
      </c>
      <c r="C23" s="13">
        <f>$B$6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21" t="n">
        <v>2</v>
      </c>
      <c r="B24" s="33" t="n">
        <v>46054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21" t="n">
        <v>3</v>
      </c>
      <c r="B25" s="33" t="n">
        <v>46082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21" t="n">
        <v>4</v>
      </c>
      <c r="B26" s="33" t="n">
        <v>46113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21" t="n">
        <v>5</v>
      </c>
      <c r="B27" s="33" t="n">
        <v>46143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21" t="n">
        <v>6</v>
      </c>
      <c r="B28" s="33" t="n">
        <v>46174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21" t="n">
        <v>7</v>
      </c>
      <c r="B29" s="33" t="n">
        <v>46204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21" t="n">
        <v>8</v>
      </c>
      <c r="B30" s="33" t="n">
        <v>46235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21" t="n">
        <v>9</v>
      </c>
      <c r="B31" s="33" t="n">
        <v>46266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21" t="n">
        <v>10</v>
      </c>
      <c r="B32" s="33" t="n">
        <v>46296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21" t="n">
        <v>11</v>
      </c>
      <c r="B33" s="33" t="n">
        <v>46327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4">
      <c r="A34" s="21" t="n">
        <v>12</v>
      </c>
      <c r="B34" s="33" t="n">
        <v>46357</v>
      </c>
      <c r="C34" s="13">
        <f>F33</f>
        <v/>
      </c>
      <c r="D34" s="13">
        <f>MAX(0,C34*$B$7/12)</f>
        <v/>
      </c>
      <c r="E34" s="13">
        <f>MAX(0,MIN(C34,$B$8-D34))</f>
        <v/>
      </c>
      <c r="F34" s="13">
        <f>MAX(0,C34-E34)</f>
        <v/>
      </c>
    </row>
    <row r="35">
      <c r="A35" s="21" t="n">
        <v>13</v>
      </c>
      <c r="B35" s="33" t="n">
        <v>46388</v>
      </c>
      <c r="C35" s="13">
        <f>F34</f>
        <v/>
      </c>
      <c r="D35" s="13">
        <f>MAX(0,C35*$B$7/12)</f>
        <v/>
      </c>
      <c r="E35" s="13">
        <f>MAX(0,MIN(C35,$B$8-D35))</f>
        <v/>
      </c>
      <c r="F35" s="13">
        <f>MAX(0,C35-E35)</f>
        <v/>
      </c>
    </row>
    <row r="36">
      <c r="A36" s="21" t="n">
        <v>14</v>
      </c>
      <c r="B36" s="33" t="n">
        <v>46419</v>
      </c>
      <c r="C36" s="13">
        <f>F35</f>
        <v/>
      </c>
      <c r="D36" s="13">
        <f>MAX(0,C36*$B$7/12)</f>
        <v/>
      </c>
      <c r="E36" s="13">
        <f>MAX(0,MIN(C36,$B$8-D36))</f>
        <v/>
      </c>
      <c r="F36" s="13">
        <f>MAX(0,C36-E36)</f>
        <v/>
      </c>
    </row>
    <row r="37">
      <c r="A37" s="21" t="n">
        <v>15</v>
      </c>
      <c r="B37" s="33" t="n">
        <v>46447</v>
      </c>
      <c r="C37" s="13">
        <f>F36</f>
        <v/>
      </c>
      <c r="D37" s="13">
        <f>MAX(0,C37*$B$7/12)</f>
        <v/>
      </c>
      <c r="E37" s="13">
        <f>MAX(0,MIN(C37,$B$8-D37))</f>
        <v/>
      </c>
      <c r="F37" s="13">
        <f>MAX(0,C37-E37)</f>
        <v/>
      </c>
    </row>
    <row r="38">
      <c r="A38" s="21" t="n">
        <v>16</v>
      </c>
      <c r="B38" s="33" t="n">
        <v>46478</v>
      </c>
      <c r="C38" s="13">
        <f>F37</f>
        <v/>
      </c>
      <c r="D38" s="13">
        <f>MAX(0,C38*$B$7/12)</f>
        <v/>
      </c>
      <c r="E38" s="13">
        <f>MAX(0,MIN(C38,$B$8-D38))</f>
        <v/>
      </c>
      <c r="F38" s="13">
        <f>MAX(0,C38-E38)</f>
        <v/>
      </c>
    </row>
    <row r="39">
      <c r="A39" s="21" t="n">
        <v>17</v>
      </c>
      <c r="B39" s="33" t="n">
        <v>46508</v>
      </c>
      <c r="C39" s="13">
        <f>F38</f>
        <v/>
      </c>
      <c r="D39" s="13">
        <f>MAX(0,C39*$B$7/12)</f>
        <v/>
      </c>
      <c r="E39" s="13">
        <f>MAX(0,MIN(C39,$B$8-D39))</f>
        <v/>
      </c>
      <c r="F39" s="13">
        <f>MAX(0,C39-E39)</f>
        <v/>
      </c>
    </row>
    <row r="40">
      <c r="A40" s="21" t="n">
        <v>18</v>
      </c>
      <c r="B40" s="33" t="n">
        <v>46539</v>
      </c>
      <c r="C40" s="13">
        <f>F39</f>
        <v/>
      </c>
      <c r="D40" s="13">
        <f>MAX(0,C40*$B$7/12)</f>
        <v/>
      </c>
      <c r="E40" s="13">
        <f>MAX(0,MIN(C40,$B$8-D40))</f>
        <v/>
      </c>
      <c r="F40" s="13">
        <f>MAX(0,C40-E40)</f>
        <v/>
      </c>
    </row>
    <row r="41">
      <c r="A41" s="21" t="n">
        <v>19</v>
      </c>
      <c r="B41" s="33" t="n">
        <v>46569</v>
      </c>
      <c r="C41" s="13">
        <f>F40</f>
        <v/>
      </c>
      <c r="D41" s="13">
        <f>MAX(0,C41*$B$7/12)</f>
        <v/>
      </c>
      <c r="E41" s="13">
        <f>MAX(0,MIN(C41,$B$8-D41))</f>
        <v/>
      </c>
      <c r="F41" s="13">
        <f>MAX(0,C41-E41)</f>
        <v/>
      </c>
    </row>
    <row r="42">
      <c r="A42" s="21" t="n">
        <v>20</v>
      </c>
      <c r="B42" s="33" t="n">
        <v>46600</v>
      </c>
      <c r="C42" s="13">
        <f>F41</f>
        <v/>
      </c>
      <c r="D42" s="13">
        <f>MAX(0,C42*$B$7/12)</f>
        <v/>
      </c>
      <c r="E42" s="13">
        <f>MAX(0,MIN(C42,$B$8-D42))</f>
        <v/>
      </c>
      <c r="F42" s="13">
        <f>MAX(0,C42-E42)</f>
        <v/>
      </c>
    </row>
    <row r="43">
      <c r="A43" s="21" t="n">
        <v>21</v>
      </c>
      <c r="B43" s="33" t="n">
        <v>46631</v>
      </c>
      <c r="C43" s="13">
        <f>F42</f>
        <v/>
      </c>
      <c r="D43" s="13">
        <f>MAX(0,C43*$B$7/12)</f>
        <v/>
      </c>
      <c r="E43" s="13">
        <f>MAX(0,MIN(C43,$B$8-D43))</f>
        <v/>
      </c>
      <c r="F43" s="13">
        <f>MAX(0,C43-E43)</f>
        <v/>
      </c>
    </row>
    <row r="44">
      <c r="A44" s="21" t="n">
        <v>22</v>
      </c>
      <c r="B44" s="33" t="n">
        <v>46661</v>
      </c>
      <c r="C44" s="13">
        <f>F43</f>
        <v/>
      </c>
      <c r="D44" s="13">
        <f>MAX(0,C44*$B$7/12)</f>
        <v/>
      </c>
      <c r="E44" s="13">
        <f>MAX(0,MIN(C44,$B$8-D44))</f>
        <v/>
      </c>
      <c r="F44" s="13">
        <f>MAX(0,C44-E44)</f>
        <v/>
      </c>
    </row>
    <row r="45">
      <c r="A45" s="21" t="n">
        <v>23</v>
      </c>
      <c r="B45" s="33" t="n">
        <v>46692</v>
      </c>
      <c r="C45" s="13">
        <f>F44</f>
        <v/>
      </c>
      <c r="D45" s="13">
        <f>MAX(0,C45*$B$7/12)</f>
        <v/>
      </c>
      <c r="E45" s="13">
        <f>MAX(0,MIN(C45,$B$8-D45))</f>
        <v/>
      </c>
      <c r="F45" s="13">
        <f>MAX(0,C45-E45)</f>
        <v/>
      </c>
    </row>
    <row r="46">
      <c r="A46" s="21" t="n">
        <v>24</v>
      </c>
      <c r="B46" s="33" t="n">
        <v>46722</v>
      </c>
      <c r="C46" s="13">
        <f>F45</f>
        <v/>
      </c>
      <c r="D46" s="13">
        <f>MAX(0,C46*$B$7/12)</f>
        <v/>
      </c>
      <c r="E46" s="13">
        <f>MAX(0,MIN(C46,$B$8-D46))</f>
        <v/>
      </c>
      <c r="F46" s="13">
        <f>MAX(0,C46-E46)</f>
        <v/>
      </c>
    </row>
    <row r="47">
      <c r="A47" s="21" t="n">
        <v>25</v>
      </c>
      <c r="B47" s="33" t="n">
        <v>46753</v>
      </c>
      <c r="C47" s="13">
        <f>F46</f>
        <v/>
      </c>
      <c r="D47" s="13">
        <f>MAX(0,C47*$B$7/12)</f>
        <v/>
      </c>
      <c r="E47" s="13">
        <f>MAX(0,MIN(C47,$B$8-D47))</f>
        <v/>
      </c>
      <c r="F47" s="13">
        <f>MAX(0,C47-E47)</f>
        <v/>
      </c>
    </row>
    <row r="48">
      <c r="A48" s="21" t="n">
        <v>26</v>
      </c>
      <c r="B48" s="33" t="n">
        <v>46784</v>
      </c>
      <c r="C48" s="13">
        <f>F47</f>
        <v/>
      </c>
      <c r="D48" s="13">
        <f>MAX(0,C48*$B$7/12)</f>
        <v/>
      </c>
      <c r="E48" s="13">
        <f>MAX(0,MIN(C48,$B$8-D48))</f>
        <v/>
      </c>
      <c r="F48" s="13">
        <f>MAX(0,C48-E48)</f>
        <v/>
      </c>
    </row>
    <row r="49">
      <c r="A49" s="21" t="n">
        <v>27</v>
      </c>
      <c r="B49" s="33" t="n">
        <v>46813</v>
      </c>
      <c r="C49" s="13">
        <f>F48</f>
        <v/>
      </c>
      <c r="D49" s="13">
        <f>MAX(0,C49*$B$7/12)</f>
        <v/>
      </c>
      <c r="E49" s="13">
        <f>MAX(0,MIN(C49,$B$8-D49))</f>
        <v/>
      </c>
      <c r="F49" s="13">
        <f>MAX(0,C49-E49)</f>
        <v/>
      </c>
    </row>
    <row r="50">
      <c r="A50" s="21" t="n">
        <v>28</v>
      </c>
      <c r="B50" s="33" t="n">
        <v>46844</v>
      </c>
      <c r="C50" s="13">
        <f>F49</f>
        <v/>
      </c>
      <c r="D50" s="13">
        <f>MAX(0,C50*$B$7/12)</f>
        <v/>
      </c>
      <c r="E50" s="13">
        <f>MAX(0,MIN(C50,$B$8-D50))</f>
        <v/>
      </c>
      <c r="F50" s="13">
        <f>MAX(0,C50-E50)</f>
        <v/>
      </c>
    </row>
    <row r="51">
      <c r="A51" s="21" t="n">
        <v>29</v>
      </c>
      <c r="B51" s="33" t="n">
        <v>46874</v>
      </c>
      <c r="C51" s="13">
        <f>F50</f>
        <v/>
      </c>
      <c r="D51" s="13">
        <f>MAX(0,C51*$B$7/12)</f>
        <v/>
      </c>
      <c r="E51" s="13">
        <f>MAX(0,MIN(C51,$B$8-D51))</f>
        <v/>
      </c>
      <c r="F51" s="13">
        <f>MAX(0,C51-E51)</f>
        <v/>
      </c>
    </row>
    <row r="52">
      <c r="A52" s="21" t="n">
        <v>30</v>
      </c>
      <c r="B52" s="33" t="n">
        <v>46905</v>
      </c>
      <c r="C52" s="13">
        <f>F51</f>
        <v/>
      </c>
      <c r="D52" s="13">
        <f>MAX(0,C52*$B$7/12)</f>
        <v/>
      </c>
      <c r="E52" s="13">
        <f>MAX(0,MIN(C52,$B$8-D52))</f>
        <v/>
      </c>
      <c r="F52" s="13">
        <f>MAX(0,C52-E52)</f>
        <v/>
      </c>
    </row>
    <row r="53">
      <c r="A53" s="21" t="n">
        <v>31</v>
      </c>
      <c r="B53" s="33" t="n">
        <v>46935</v>
      </c>
      <c r="C53" s="13">
        <f>F52</f>
        <v/>
      </c>
      <c r="D53" s="13">
        <f>MAX(0,C53*$B$7/12)</f>
        <v/>
      </c>
      <c r="E53" s="13">
        <f>MAX(0,MIN(C53,$B$8-D53))</f>
        <v/>
      </c>
      <c r="F53" s="13">
        <f>MAX(0,C53-E53)</f>
        <v/>
      </c>
    </row>
    <row r="54">
      <c r="A54" s="21" t="n">
        <v>32</v>
      </c>
      <c r="B54" s="33" t="n">
        <v>46966</v>
      </c>
      <c r="C54" s="13">
        <f>F53</f>
        <v/>
      </c>
      <c r="D54" s="13">
        <f>MAX(0,C54*$B$7/12)</f>
        <v/>
      </c>
      <c r="E54" s="13">
        <f>MAX(0,MIN(C54,$B$8-D54))</f>
        <v/>
      </c>
      <c r="F54" s="13">
        <f>MAX(0,C54-E54)</f>
        <v/>
      </c>
    </row>
    <row r="55">
      <c r="A55" s="21" t="n">
        <v>33</v>
      </c>
      <c r="B55" s="33" t="n">
        <v>46997</v>
      </c>
      <c r="C55" s="13">
        <f>F54</f>
        <v/>
      </c>
      <c r="D55" s="13">
        <f>MAX(0,C55*$B$7/12)</f>
        <v/>
      </c>
      <c r="E55" s="13">
        <f>MAX(0,MIN(C55,$B$8-D55))</f>
        <v/>
      </c>
      <c r="F55" s="13">
        <f>MAX(0,C55-E55)</f>
        <v/>
      </c>
    </row>
    <row r="56">
      <c r="A56" s="21" t="n">
        <v>34</v>
      </c>
      <c r="B56" s="33" t="n">
        <v>47027</v>
      </c>
      <c r="C56" s="13">
        <f>F55</f>
        <v/>
      </c>
      <c r="D56" s="13">
        <f>MAX(0,C56*$B$7/12)</f>
        <v/>
      </c>
      <c r="E56" s="13">
        <f>MAX(0,MIN(C56,$B$8-D56))</f>
        <v/>
      </c>
      <c r="F56" s="13">
        <f>MAX(0,C56-E56)</f>
        <v/>
      </c>
    </row>
    <row r="57">
      <c r="A57" s="21" t="n">
        <v>35</v>
      </c>
      <c r="B57" s="33" t="n">
        <v>47058</v>
      </c>
      <c r="C57" s="13">
        <f>F56</f>
        <v/>
      </c>
      <c r="D57" s="13">
        <f>MAX(0,C57*$B$7/12)</f>
        <v/>
      </c>
      <c r="E57" s="13">
        <f>MAX(0,MIN(C57,$B$8-D57))</f>
        <v/>
      </c>
      <c r="F57" s="13">
        <f>MAX(0,C57-E57)</f>
        <v/>
      </c>
    </row>
    <row r="58">
      <c r="A58" s="21" t="n">
        <v>36</v>
      </c>
      <c r="B58" s="33" t="n">
        <v>47088</v>
      </c>
      <c r="C58" s="13">
        <f>F57</f>
        <v/>
      </c>
      <c r="D58" s="13">
        <f>MAX(0,C58*$B$7/12)</f>
        <v/>
      </c>
      <c r="E58" s="13">
        <f>MAX(0,MIN(C58,$B$8-D58))</f>
        <v/>
      </c>
      <c r="F58" s="13">
        <f>MAX(0,C58-E58)</f>
        <v/>
      </c>
    </row>
    <row r="59">
      <c r="A59" s="21" t="n">
        <v>37</v>
      </c>
      <c r="B59" s="33" t="n">
        <v>47119</v>
      </c>
      <c r="C59" s="13">
        <f>F58</f>
        <v/>
      </c>
      <c r="D59" s="13">
        <f>MAX(0,C59*$B$7/12)</f>
        <v/>
      </c>
      <c r="E59" s="13">
        <f>MAX(0,MIN(C59,$B$8-D59))</f>
        <v/>
      </c>
      <c r="F59" s="13">
        <f>MAX(0,C59-E59)</f>
        <v/>
      </c>
    </row>
    <row r="60">
      <c r="A60" s="21" t="n">
        <v>38</v>
      </c>
      <c r="B60" s="33" t="n">
        <v>47150</v>
      </c>
      <c r="C60" s="13">
        <f>F59</f>
        <v/>
      </c>
      <c r="D60" s="13">
        <f>MAX(0,C60*$B$7/12)</f>
        <v/>
      </c>
      <c r="E60" s="13">
        <f>MAX(0,MIN(C60,$B$8-D60))</f>
        <v/>
      </c>
      <c r="F60" s="13">
        <f>MAX(0,C60-E60)</f>
        <v/>
      </c>
    </row>
    <row r="61">
      <c r="A61" s="21" t="n">
        <v>39</v>
      </c>
      <c r="B61" s="33" t="n">
        <v>47178</v>
      </c>
      <c r="C61" s="13">
        <f>F60</f>
        <v/>
      </c>
      <c r="D61" s="13">
        <f>MAX(0,C61*$B$7/12)</f>
        <v/>
      </c>
      <c r="E61" s="13">
        <f>MAX(0,MIN(C61,$B$8-D61))</f>
        <v/>
      </c>
      <c r="F61" s="13">
        <f>MAX(0,C61-E61)</f>
        <v/>
      </c>
    </row>
    <row r="64">
      <c r="A64" s="2" t="inlineStr">
        <is>
          <t>ANNUAL SUMMARY</t>
        </is>
      </c>
    </row>
    <row r="65">
      <c r="A65" s="30" t="inlineStr">
        <is>
          <t>Year</t>
        </is>
      </c>
      <c r="B65" s="30" t="inlineStr"/>
      <c r="C65" s="30" t="inlineStr">
        <is>
          <t>Opening</t>
        </is>
      </c>
      <c r="D65" s="30" t="inlineStr">
        <is>
          <t>Interest</t>
        </is>
      </c>
      <c r="E65" s="30" t="inlineStr">
        <is>
          <t>Principal</t>
        </is>
      </c>
      <c r="F65" s="30" t="inlineStr">
        <is>
          <t>Closing</t>
        </is>
      </c>
    </row>
    <row r="66">
      <c r="A66" s="21" t="n">
        <v>2026</v>
      </c>
      <c r="C66" s="13">
        <f>C23</f>
        <v/>
      </c>
      <c r="D66" s="13">
        <f>SUM(D23:D34)</f>
        <v/>
      </c>
      <c r="E66" s="13">
        <f>SUM(E23:E34)</f>
        <v/>
      </c>
      <c r="F66" s="13">
        <f>F34</f>
        <v/>
      </c>
    </row>
    <row r="67">
      <c r="A67" s="21" t="n">
        <v>2027</v>
      </c>
      <c r="C67" s="13">
        <f>C35</f>
        <v/>
      </c>
      <c r="D67" s="13">
        <f>SUM(D35:D46)</f>
        <v/>
      </c>
      <c r="E67" s="13">
        <f>SUM(E35:E46)</f>
        <v/>
      </c>
      <c r="F67" s="13">
        <f>F46</f>
        <v/>
      </c>
    </row>
    <row r="68">
      <c r="A68" s="21" t="n">
        <v>2028</v>
      </c>
      <c r="C68" s="13">
        <f>C47</f>
        <v/>
      </c>
      <c r="D68" s="13">
        <f>SUM(D47:D58)</f>
        <v/>
      </c>
      <c r="E68" s="13">
        <f>SUM(E47:E58)</f>
        <v/>
      </c>
      <c r="F68" s="13">
        <f>F58</f>
        <v/>
      </c>
    </row>
    <row r="69">
      <c r="A69" s="21" t="n">
        <v>2029</v>
      </c>
      <c r="C69" s="13">
        <f>C59</f>
        <v/>
      </c>
      <c r="D69" s="13">
        <f>SUM(D59:D61)</f>
        <v/>
      </c>
      <c r="E69" s="13">
        <f>SUM(E59:E61)</f>
        <v/>
      </c>
      <c r="F69" s="13">
        <f>F61</f>
        <v/>
      </c>
    </row>
    <row r="72">
      <c r="A72" s="1" t="inlineStr">
        <is>
          <t>CURRENT BALANCE (for DS link):</t>
        </is>
      </c>
      <c r="B72" s="31">
        <f>F34</f>
        <v/>
      </c>
    </row>
  </sheetData>
  <mergeCells count="4">
    <mergeCell ref="A1:F1"/>
    <mergeCell ref="A12:F12"/>
    <mergeCell ref="B18:F18"/>
    <mergeCell ref="A64:F64"/>
  </mergeCells>
  <pageMargins left="0.75" right="0.75" top="1" bottom="1" header="0.5" footer="0.5"/>
  <legacyDrawing xmlns:r="http://schemas.openxmlformats.org/officeDocument/2006/relationships" r:id="anysvml"/>
</worksheet>
</file>

<file path=xl/worksheets/sheet31.xml><?xml version="1.0" encoding="utf-8"?>
<worksheet xmlns="http://schemas.openxmlformats.org/spreadsheetml/2006/main">
  <sheetPr>
    <tabColor rgb="00808080"/>
    <outlinePr summaryBelow="1" summaryRight="1"/>
    <pageSetUpPr/>
  </sheetPr>
  <dimension ref="A1:F81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PACCAR FINANCIAL - LOAN #19</t>
        </is>
      </c>
    </row>
    <row r="2">
      <c r="A2" t="inlineStr">
        <is>
          <t>Description:</t>
        </is>
      </c>
      <c r="B2" s="4" t="inlineStr">
        <is>
          <t>7 T680</t>
        </is>
      </c>
    </row>
    <row r="3">
      <c r="A3" t="inlineStr">
        <is>
          <t>Loan ID:</t>
        </is>
      </c>
      <c r="B3" t="inlineStr">
        <is>
          <t>05-2959-017-000-00</t>
        </is>
      </c>
    </row>
    <row r="4">
      <c r="A4" t="inlineStr">
        <is>
          <t>Loan Number:</t>
        </is>
      </c>
      <c r="B4" t="inlineStr">
        <is>
          <t>100-652-150-00007458722</t>
        </is>
      </c>
    </row>
    <row r="5">
      <c r="A5" t="inlineStr">
        <is>
          <t>Collateral:</t>
        </is>
      </c>
      <c r="B5" t="inlineStr">
        <is>
          <t>Equipment - Semi Trucks</t>
        </is>
      </c>
    </row>
    <row r="6">
      <c r="A6" t="inlineStr">
        <is>
          <t>Opening Balance (12/31/25):</t>
        </is>
      </c>
      <c r="B6" s="26" t="n">
        <v>990159</v>
      </c>
    </row>
    <row r="7">
      <c r="A7" t="inlineStr">
        <is>
          <t>Annual Interest Rate:</t>
        </is>
      </c>
      <c r="B7" s="6" t="n">
        <v>0.0658</v>
      </c>
    </row>
    <row r="8">
      <c r="A8" t="inlineStr">
        <is>
          <t>Monthly Payment:</t>
        </is>
      </c>
      <c r="B8" s="26" t="n">
        <v>23966</v>
      </c>
    </row>
    <row r="9">
      <c r="A9" t="inlineStr">
        <is>
          <t>Origination Date:</t>
        </is>
      </c>
      <c r="B9" s="32" t="n">
        <v>45320</v>
      </c>
    </row>
    <row r="10">
      <c r="A10" t="inlineStr">
        <is>
          <t>Maturity Date:</t>
        </is>
      </c>
      <c r="B10" s="32" t="n">
        <v>47433</v>
      </c>
    </row>
    <row r="12">
      <c r="A12" s="8" t="inlineStr">
        <is>
          <t>AI ANALYSIS</t>
        </is>
      </c>
    </row>
    <row r="13">
      <c r="A13" t="inlineStr">
        <is>
          <t>Loan Type:</t>
        </is>
      </c>
      <c r="B13" s="9" t="inlineStr">
        <is>
          <t>AMORTIZING</t>
        </is>
      </c>
    </row>
    <row r="14">
      <c r="A14" t="inlineStr">
        <is>
          <t>Lender:</t>
        </is>
      </c>
      <c r="B14" s="9" t="inlineStr">
        <is>
          <t>Paccar Financial</t>
        </is>
      </c>
    </row>
    <row r="15">
      <c r="A15" t="inlineStr">
        <is>
          <t>Equipment Type:</t>
        </is>
      </c>
      <c r="B15" s="9" t="inlineStr">
        <is>
          <t>Semi Trucks (Kenworth/Peterbilt)</t>
        </is>
      </c>
    </row>
    <row r="16">
      <c r="A16" t="inlineStr">
        <is>
          <t>Original Balance:</t>
        </is>
      </c>
      <c r="B16" s="28" t="n">
        <v>1298710</v>
      </c>
    </row>
    <row r="17">
      <c r="A17" t="inlineStr">
        <is>
          <t>Months Remaining (from 1/1/26):</t>
        </is>
      </c>
      <c r="B17" s="9" t="n">
        <v>46</v>
      </c>
    </row>
    <row r="18">
      <c r="A18" t="inlineStr">
        <is>
          <t>Amortization Notes:</t>
        </is>
      </c>
      <c r="B18" s="9" t="inlineStr">
        <is>
          <t>Standard equipment financing with fixed monthly payments. Interest calculated on declining balance.</t>
        </is>
      </c>
    </row>
    <row r="19">
      <c r="A19" t="inlineStr">
        <is>
          <t>Source Document:</t>
        </is>
      </c>
      <c r="B19" s="9" t="inlineStr">
        <is>
          <t>Meiborg_Debt_Schedule_202512.xlsx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21" t="n">
        <v>1</v>
      </c>
      <c r="B23" s="33" t="n">
        <v>46023</v>
      </c>
      <c r="C23" s="13">
        <f>$B$6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21" t="n">
        <v>2</v>
      </c>
      <c r="B24" s="33" t="n">
        <v>46054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21" t="n">
        <v>3</v>
      </c>
      <c r="B25" s="33" t="n">
        <v>46082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21" t="n">
        <v>4</v>
      </c>
      <c r="B26" s="33" t="n">
        <v>46113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21" t="n">
        <v>5</v>
      </c>
      <c r="B27" s="33" t="n">
        <v>46143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21" t="n">
        <v>6</v>
      </c>
      <c r="B28" s="33" t="n">
        <v>46174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21" t="n">
        <v>7</v>
      </c>
      <c r="B29" s="33" t="n">
        <v>46204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21" t="n">
        <v>8</v>
      </c>
      <c r="B30" s="33" t="n">
        <v>46235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21" t="n">
        <v>9</v>
      </c>
      <c r="B31" s="33" t="n">
        <v>46266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21" t="n">
        <v>10</v>
      </c>
      <c r="B32" s="33" t="n">
        <v>46296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21" t="n">
        <v>11</v>
      </c>
      <c r="B33" s="33" t="n">
        <v>46327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4">
      <c r="A34" s="21" t="n">
        <v>12</v>
      </c>
      <c r="B34" s="33" t="n">
        <v>46357</v>
      </c>
      <c r="C34" s="13">
        <f>F33</f>
        <v/>
      </c>
      <c r="D34" s="13">
        <f>MAX(0,C34*$B$7/12)</f>
        <v/>
      </c>
      <c r="E34" s="13">
        <f>MAX(0,MIN(C34,$B$8-D34))</f>
        <v/>
      </c>
      <c r="F34" s="13">
        <f>MAX(0,C34-E34)</f>
        <v/>
      </c>
    </row>
    <row r="35">
      <c r="A35" s="21" t="n">
        <v>13</v>
      </c>
      <c r="B35" s="33" t="n">
        <v>46388</v>
      </c>
      <c r="C35" s="13">
        <f>F34</f>
        <v/>
      </c>
      <c r="D35" s="13">
        <f>MAX(0,C35*$B$7/12)</f>
        <v/>
      </c>
      <c r="E35" s="13">
        <f>MAX(0,MIN(C35,$B$8-D35))</f>
        <v/>
      </c>
      <c r="F35" s="13">
        <f>MAX(0,C35-E35)</f>
        <v/>
      </c>
    </row>
    <row r="36">
      <c r="A36" s="21" t="n">
        <v>14</v>
      </c>
      <c r="B36" s="33" t="n">
        <v>46419</v>
      </c>
      <c r="C36" s="13">
        <f>F35</f>
        <v/>
      </c>
      <c r="D36" s="13">
        <f>MAX(0,C36*$B$7/12)</f>
        <v/>
      </c>
      <c r="E36" s="13">
        <f>MAX(0,MIN(C36,$B$8-D36))</f>
        <v/>
      </c>
      <c r="F36" s="13">
        <f>MAX(0,C36-E36)</f>
        <v/>
      </c>
    </row>
    <row r="37">
      <c r="A37" s="21" t="n">
        <v>15</v>
      </c>
      <c r="B37" s="33" t="n">
        <v>46447</v>
      </c>
      <c r="C37" s="13">
        <f>F36</f>
        <v/>
      </c>
      <c r="D37" s="13">
        <f>MAX(0,C37*$B$7/12)</f>
        <v/>
      </c>
      <c r="E37" s="13">
        <f>MAX(0,MIN(C37,$B$8-D37))</f>
        <v/>
      </c>
      <c r="F37" s="13">
        <f>MAX(0,C37-E37)</f>
        <v/>
      </c>
    </row>
    <row r="38">
      <c r="A38" s="21" t="n">
        <v>16</v>
      </c>
      <c r="B38" s="33" t="n">
        <v>46478</v>
      </c>
      <c r="C38" s="13">
        <f>F37</f>
        <v/>
      </c>
      <c r="D38" s="13">
        <f>MAX(0,C38*$B$7/12)</f>
        <v/>
      </c>
      <c r="E38" s="13">
        <f>MAX(0,MIN(C38,$B$8-D38))</f>
        <v/>
      </c>
      <c r="F38" s="13">
        <f>MAX(0,C38-E38)</f>
        <v/>
      </c>
    </row>
    <row r="39">
      <c r="A39" s="21" t="n">
        <v>17</v>
      </c>
      <c r="B39" s="33" t="n">
        <v>46508</v>
      </c>
      <c r="C39" s="13">
        <f>F38</f>
        <v/>
      </c>
      <c r="D39" s="13">
        <f>MAX(0,C39*$B$7/12)</f>
        <v/>
      </c>
      <c r="E39" s="13">
        <f>MAX(0,MIN(C39,$B$8-D39))</f>
        <v/>
      </c>
      <c r="F39" s="13">
        <f>MAX(0,C39-E39)</f>
        <v/>
      </c>
    </row>
    <row r="40">
      <c r="A40" s="21" t="n">
        <v>18</v>
      </c>
      <c r="B40" s="33" t="n">
        <v>46539</v>
      </c>
      <c r="C40" s="13">
        <f>F39</f>
        <v/>
      </c>
      <c r="D40" s="13">
        <f>MAX(0,C40*$B$7/12)</f>
        <v/>
      </c>
      <c r="E40" s="13">
        <f>MAX(0,MIN(C40,$B$8-D40))</f>
        <v/>
      </c>
      <c r="F40" s="13">
        <f>MAX(0,C40-E40)</f>
        <v/>
      </c>
    </row>
    <row r="41">
      <c r="A41" s="21" t="n">
        <v>19</v>
      </c>
      <c r="B41" s="33" t="n">
        <v>46569</v>
      </c>
      <c r="C41" s="13">
        <f>F40</f>
        <v/>
      </c>
      <c r="D41" s="13">
        <f>MAX(0,C41*$B$7/12)</f>
        <v/>
      </c>
      <c r="E41" s="13">
        <f>MAX(0,MIN(C41,$B$8-D41))</f>
        <v/>
      </c>
      <c r="F41" s="13">
        <f>MAX(0,C41-E41)</f>
        <v/>
      </c>
    </row>
    <row r="42">
      <c r="A42" s="21" t="n">
        <v>20</v>
      </c>
      <c r="B42" s="33" t="n">
        <v>46600</v>
      </c>
      <c r="C42" s="13">
        <f>F41</f>
        <v/>
      </c>
      <c r="D42" s="13">
        <f>MAX(0,C42*$B$7/12)</f>
        <v/>
      </c>
      <c r="E42" s="13">
        <f>MAX(0,MIN(C42,$B$8-D42))</f>
        <v/>
      </c>
      <c r="F42" s="13">
        <f>MAX(0,C42-E42)</f>
        <v/>
      </c>
    </row>
    <row r="43">
      <c r="A43" s="21" t="n">
        <v>21</v>
      </c>
      <c r="B43" s="33" t="n">
        <v>46631</v>
      </c>
      <c r="C43" s="13">
        <f>F42</f>
        <v/>
      </c>
      <c r="D43" s="13">
        <f>MAX(0,C43*$B$7/12)</f>
        <v/>
      </c>
      <c r="E43" s="13">
        <f>MAX(0,MIN(C43,$B$8-D43))</f>
        <v/>
      </c>
      <c r="F43" s="13">
        <f>MAX(0,C43-E43)</f>
        <v/>
      </c>
    </row>
    <row r="44">
      <c r="A44" s="21" t="n">
        <v>22</v>
      </c>
      <c r="B44" s="33" t="n">
        <v>46661</v>
      </c>
      <c r="C44" s="13">
        <f>F43</f>
        <v/>
      </c>
      <c r="D44" s="13">
        <f>MAX(0,C44*$B$7/12)</f>
        <v/>
      </c>
      <c r="E44" s="13">
        <f>MAX(0,MIN(C44,$B$8-D44))</f>
        <v/>
      </c>
      <c r="F44" s="13">
        <f>MAX(0,C44-E44)</f>
        <v/>
      </c>
    </row>
    <row r="45">
      <c r="A45" s="21" t="n">
        <v>23</v>
      </c>
      <c r="B45" s="33" t="n">
        <v>46692</v>
      </c>
      <c r="C45" s="13">
        <f>F44</f>
        <v/>
      </c>
      <c r="D45" s="13">
        <f>MAX(0,C45*$B$7/12)</f>
        <v/>
      </c>
      <c r="E45" s="13">
        <f>MAX(0,MIN(C45,$B$8-D45))</f>
        <v/>
      </c>
      <c r="F45" s="13">
        <f>MAX(0,C45-E45)</f>
        <v/>
      </c>
    </row>
    <row r="46">
      <c r="A46" s="21" t="n">
        <v>24</v>
      </c>
      <c r="B46" s="33" t="n">
        <v>46722</v>
      </c>
      <c r="C46" s="13">
        <f>F45</f>
        <v/>
      </c>
      <c r="D46" s="13">
        <f>MAX(0,C46*$B$7/12)</f>
        <v/>
      </c>
      <c r="E46" s="13">
        <f>MAX(0,MIN(C46,$B$8-D46))</f>
        <v/>
      </c>
      <c r="F46" s="13">
        <f>MAX(0,C46-E46)</f>
        <v/>
      </c>
    </row>
    <row r="47">
      <c r="A47" s="21" t="n">
        <v>25</v>
      </c>
      <c r="B47" s="33" t="n">
        <v>46753</v>
      </c>
      <c r="C47" s="13">
        <f>F46</f>
        <v/>
      </c>
      <c r="D47" s="13">
        <f>MAX(0,C47*$B$7/12)</f>
        <v/>
      </c>
      <c r="E47" s="13">
        <f>MAX(0,MIN(C47,$B$8-D47))</f>
        <v/>
      </c>
      <c r="F47" s="13">
        <f>MAX(0,C47-E47)</f>
        <v/>
      </c>
    </row>
    <row r="48">
      <c r="A48" s="21" t="n">
        <v>26</v>
      </c>
      <c r="B48" s="33" t="n">
        <v>46784</v>
      </c>
      <c r="C48" s="13">
        <f>F47</f>
        <v/>
      </c>
      <c r="D48" s="13">
        <f>MAX(0,C48*$B$7/12)</f>
        <v/>
      </c>
      <c r="E48" s="13">
        <f>MAX(0,MIN(C48,$B$8-D48))</f>
        <v/>
      </c>
      <c r="F48" s="13">
        <f>MAX(0,C48-E48)</f>
        <v/>
      </c>
    </row>
    <row r="49">
      <c r="A49" s="21" t="n">
        <v>27</v>
      </c>
      <c r="B49" s="33" t="n">
        <v>46813</v>
      </c>
      <c r="C49" s="13">
        <f>F48</f>
        <v/>
      </c>
      <c r="D49" s="13">
        <f>MAX(0,C49*$B$7/12)</f>
        <v/>
      </c>
      <c r="E49" s="13">
        <f>MAX(0,MIN(C49,$B$8-D49))</f>
        <v/>
      </c>
      <c r="F49" s="13">
        <f>MAX(0,C49-E49)</f>
        <v/>
      </c>
    </row>
    <row r="50">
      <c r="A50" s="21" t="n">
        <v>28</v>
      </c>
      <c r="B50" s="33" t="n">
        <v>46844</v>
      </c>
      <c r="C50" s="13">
        <f>F49</f>
        <v/>
      </c>
      <c r="D50" s="13">
        <f>MAX(0,C50*$B$7/12)</f>
        <v/>
      </c>
      <c r="E50" s="13">
        <f>MAX(0,MIN(C50,$B$8-D50))</f>
        <v/>
      </c>
      <c r="F50" s="13">
        <f>MAX(0,C50-E50)</f>
        <v/>
      </c>
    </row>
    <row r="51">
      <c r="A51" s="21" t="n">
        <v>29</v>
      </c>
      <c r="B51" s="33" t="n">
        <v>46874</v>
      </c>
      <c r="C51" s="13">
        <f>F50</f>
        <v/>
      </c>
      <c r="D51" s="13">
        <f>MAX(0,C51*$B$7/12)</f>
        <v/>
      </c>
      <c r="E51" s="13">
        <f>MAX(0,MIN(C51,$B$8-D51))</f>
        <v/>
      </c>
      <c r="F51" s="13">
        <f>MAX(0,C51-E51)</f>
        <v/>
      </c>
    </row>
    <row r="52">
      <c r="A52" s="21" t="n">
        <v>30</v>
      </c>
      <c r="B52" s="33" t="n">
        <v>46905</v>
      </c>
      <c r="C52" s="13">
        <f>F51</f>
        <v/>
      </c>
      <c r="D52" s="13">
        <f>MAX(0,C52*$B$7/12)</f>
        <v/>
      </c>
      <c r="E52" s="13">
        <f>MAX(0,MIN(C52,$B$8-D52))</f>
        <v/>
      </c>
      <c r="F52" s="13">
        <f>MAX(0,C52-E52)</f>
        <v/>
      </c>
    </row>
    <row r="53">
      <c r="A53" s="21" t="n">
        <v>31</v>
      </c>
      <c r="B53" s="33" t="n">
        <v>46935</v>
      </c>
      <c r="C53" s="13">
        <f>F52</f>
        <v/>
      </c>
      <c r="D53" s="13">
        <f>MAX(0,C53*$B$7/12)</f>
        <v/>
      </c>
      <c r="E53" s="13">
        <f>MAX(0,MIN(C53,$B$8-D53))</f>
        <v/>
      </c>
      <c r="F53" s="13">
        <f>MAX(0,C53-E53)</f>
        <v/>
      </c>
    </row>
    <row r="54">
      <c r="A54" s="21" t="n">
        <v>32</v>
      </c>
      <c r="B54" s="33" t="n">
        <v>46966</v>
      </c>
      <c r="C54" s="13">
        <f>F53</f>
        <v/>
      </c>
      <c r="D54" s="13">
        <f>MAX(0,C54*$B$7/12)</f>
        <v/>
      </c>
      <c r="E54" s="13">
        <f>MAX(0,MIN(C54,$B$8-D54))</f>
        <v/>
      </c>
      <c r="F54" s="13">
        <f>MAX(0,C54-E54)</f>
        <v/>
      </c>
    </row>
    <row r="55">
      <c r="A55" s="21" t="n">
        <v>33</v>
      </c>
      <c r="B55" s="33" t="n">
        <v>46997</v>
      </c>
      <c r="C55" s="13">
        <f>F54</f>
        <v/>
      </c>
      <c r="D55" s="13">
        <f>MAX(0,C55*$B$7/12)</f>
        <v/>
      </c>
      <c r="E55" s="13">
        <f>MAX(0,MIN(C55,$B$8-D55))</f>
        <v/>
      </c>
      <c r="F55" s="13">
        <f>MAX(0,C55-E55)</f>
        <v/>
      </c>
    </row>
    <row r="56">
      <c r="A56" s="21" t="n">
        <v>34</v>
      </c>
      <c r="B56" s="33" t="n">
        <v>47027</v>
      </c>
      <c r="C56" s="13">
        <f>F55</f>
        <v/>
      </c>
      <c r="D56" s="13">
        <f>MAX(0,C56*$B$7/12)</f>
        <v/>
      </c>
      <c r="E56" s="13">
        <f>MAX(0,MIN(C56,$B$8-D56))</f>
        <v/>
      </c>
      <c r="F56" s="13">
        <f>MAX(0,C56-E56)</f>
        <v/>
      </c>
    </row>
    <row r="57">
      <c r="A57" s="21" t="n">
        <v>35</v>
      </c>
      <c r="B57" s="33" t="n">
        <v>47058</v>
      </c>
      <c r="C57" s="13">
        <f>F56</f>
        <v/>
      </c>
      <c r="D57" s="13">
        <f>MAX(0,C57*$B$7/12)</f>
        <v/>
      </c>
      <c r="E57" s="13">
        <f>MAX(0,MIN(C57,$B$8-D57))</f>
        <v/>
      </c>
      <c r="F57" s="13">
        <f>MAX(0,C57-E57)</f>
        <v/>
      </c>
    </row>
    <row r="58">
      <c r="A58" s="21" t="n">
        <v>36</v>
      </c>
      <c r="B58" s="33" t="n">
        <v>47088</v>
      </c>
      <c r="C58" s="13">
        <f>F57</f>
        <v/>
      </c>
      <c r="D58" s="13">
        <f>MAX(0,C58*$B$7/12)</f>
        <v/>
      </c>
      <c r="E58" s="13">
        <f>MAX(0,MIN(C58,$B$8-D58))</f>
        <v/>
      </c>
      <c r="F58" s="13">
        <f>MAX(0,C58-E58)</f>
        <v/>
      </c>
    </row>
    <row r="59">
      <c r="A59" s="21" t="n">
        <v>37</v>
      </c>
      <c r="B59" s="33" t="n">
        <v>47119</v>
      </c>
      <c r="C59" s="13">
        <f>F58</f>
        <v/>
      </c>
      <c r="D59" s="13">
        <f>MAX(0,C59*$B$7/12)</f>
        <v/>
      </c>
      <c r="E59" s="13">
        <f>MAX(0,MIN(C59,$B$8-D59))</f>
        <v/>
      </c>
      <c r="F59" s="13">
        <f>MAX(0,C59-E59)</f>
        <v/>
      </c>
    </row>
    <row r="60">
      <c r="A60" s="21" t="n">
        <v>38</v>
      </c>
      <c r="B60" s="33" t="n">
        <v>47150</v>
      </c>
      <c r="C60" s="13">
        <f>F59</f>
        <v/>
      </c>
      <c r="D60" s="13">
        <f>MAX(0,C60*$B$7/12)</f>
        <v/>
      </c>
      <c r="E60" s="13">
        <f>MAX(0,MIN(C60,$B$8-D60))</f>
        <v/>
      </c>
      <c r="F60" s="13">
        <f>MAX(0,C60-E60)</f>
        <v/>
      </c>
    </row>
    <row r="61">
      <c r="A61" s="21" t="n">
        <v>39</v>
      </c>
      <c r="B61" s="33" t="n">
        <v>47178</v>
      </c>
      <c r="C61" s="13">
        <f>F60</f>
        <v/>
      </c>
      <c r="D61" s="13">
        <f>MAX(0,C61*$B$7/12)</f>
        <v/>
      </c>
      <c r="E61" s="13">
        <f>MAX(0,MIN(C61,$B$8-D61))</f>
        <v/>
      </c>
      <c r="F61" s="13">
        <f>MAX(0,C61-E61)</f>
        <v/>
      </c>
    </row>
    <row r="62">
      <c r="A62" s="21" t="n">
        <v>40</v>
      </c>
      <c r="B62" s="33" t="n">
        <v>47209</v>
      </c>
      <c r="C62" s="13">
        <f>F61</f>
        <v/>
      </c>
      <c r="D62" s="13">
        <f>MAX(0,C62*$B$7/12)</f>
        <v/>
      </c>
      <c r="E62" s="13">
        <f>MAX(0,MIN(C62,$B$8-D62))</f>
        <v/>
      </c>
      <c r="F62" s="13">
        <f>MAX(0,C62-E62)</f>
        <v/>
      </c>
    </row>
    <row r="63">
      <c r="A63" s="21" t="n">
        <v>41</v>
      </c>
      <c r="B63" s="33" t="n">
        <v>47239</v>
      </c>
      <c r="C63" s="13">
        <f>F62</f>
        <v/>
      </c>
      <c r="D63" s="13">
        <f>MAX(0,C63*$B$7/12)</f>
        <v/>
      </c>
      <c r="E63" s="13">
        <f>MAX(0,MIN(C63,$B$8-D63))</f>
        <v/>
      </c>
      <c r="F63" s="13">
        <f>MAX(0,C63-E63)</f>
        <v/>
      </c>
    </row>
    <row r="64">
      <c r="A64" s="21" t="n">
        <v>42</v>
      </c>
      <c r="B64" s="33" t="n">
        <v>47270</v>
      </c>
      <c r="C64" s="13">
        <f>F63</f>
        <v/>
      </c>
      <c r="D64" s="13">
        <f>MAX(0,C64*$B$7/12)</f>
        <v/>
      </c>
      <c r="E64" s="13">
        <f>MAX(0,MIN(C64,$B$8-D64))</f>
        <v/>
      </c>
      <c r="F64" s="13">
        <f>MAX(0,C64-E64)</f>
        <v/>
      </c>
    </row>
    <row r="65">
      <c r="A65" s="21" t="n">
        <v>43</v>
      </c>
      <c r="B65" s="33" t="n">
        <v>47300</v>
      </c>
      <c r="C65" s="13">
        <f>F64</f>
        <v/>
      </c>
      <c r="D65" s="13">
        <f>MAX(0,C65*$B$7/12)</f>
        <v/>
      </c>
      <c r="E65" s="13">
        <f>MAX(0,MIN(C65,$B$8-D65))</f>
        <v/>
      </c>
      <c r="F65" s="13">
        <f>MAX(0,C65-E65)</f>
        <v/>
      </c>
    </row>
    <row r="66">
      <c r="A66" s="21" t="n">
        <v>44</v>
      </c>
      <c r="B66" s="33" t="n">
        <v>47331</v>
      </c>
      <c r="C66" s="13">
        <f>F65</f>
        <v/>
      </c>
      <c r="D66" s="13">
        <f>MAX(0,C66*$B$7/12)</f>
        <v/>
      </c>
      <c r="E66" s="13">
        <f>MAX(0,MIN(C66,$B$8-D66))</f>
        <v/>
      </c>
      <c r="F66" s="13">
        <f>MAX(0,C66-E66)</f>
        <v/>
      </c>
    </row>
    <row r="67">
      <c r="A67" s="21" t="n">
        <v>45</v>
      </c>
      <c r="B67" s="33" t="n">
        <v>47362</v>
      </c>
      <c r="C67" s="13">
        <f>F66</f>
        <v/>
      </c>
      <c r="D67" s="13">
        <f>MAX(0,C67*$B$7/12)</f>
        <v/>
      </c>
      <c r="E67" s="13">
        <f>MAX(0,MIN(C67,$B$8-D67))</f>
        <v/>
      </c>
      <c r="F67" s="13">
        <f>MAX(0,C67-E67)</f>
        <v/>
      </c>
    </row>
    <row r="68">
      <c r="A68" s="21" t="n">
        <v>46</v>
      </c>
      <c r="B68" s="33" t="n">
        <v>47392</v>
      </c>
      <c r="C68" s="13">
        <f>F67</f>
        <v/>
      </c>
      <c r="D68" s="13">
        <f>MAX(0,C68*$B$7/12)</f>
        <v/>
      </c>
      <c r="E68" s="13">
        <f>MAX(0,MIN(C68,$B$8-D68))</f>
        <v/>
      </c>
      <c r="F68" s="13">
        <f>MAX(0,C68-E68)</f>
        <v/>
      </c>
    </row>
    <row r="69">
      <c r="A69" s="21" t="n">
        <v>47</v>
      </c>
      <c r="B69" s="33" t="n">
        <v>47423</v>
      </c>
      <c r="C69" s="13">
        <f>F68</f>
        <v/>
      </c>
      <c r="D69" s="13">
        <f>MAX(0,C69*$B$7/12)</f>
        <v/>
      </c>
      <c r="E69" s="13">
        <f>MAX(0,MIN(C69,$B$8-D69))</f>
        <v/>
      </c>
      <c r="F69" s="13">
        <f>MAX(0,C69-E69)</f>
        <v/>
      </c>
    </row>
    <row r="70">
      <c r="A70" s="21" t="n">
        <v>48</v>
      </c>
      <c r="B70" s="33" t="n">
        <v>47453</v>
      </c>
      <c r="C70" s="13">
        <f>F69</f>
        <v/>
      </c>
      <c r="D70" s="13">
        <f>MAX(0,C70*$B$7/12)</f>
        <v/>
      </c>
      <c r="E70" s="13">
        <f>MAX(0,MIN(C70,$B$8-D70))</f>
        <v/>
      </c>
      <c r="F70" s="13">
        <f>MAX(0,C70-E70)</f>
        <v/>
      </c>
    </row>
    <row r="73">
      <c r="A73" s="2" t="inlineStr">
        <is>
          <t>ANNUAL SUMMARY</t>
        </is>
      </c>
    </row>
    <row r="74">
      <c r="A74" s="30" t="inlineStr">
        <is>
          <t>Year</t>
        </is>
      </c>
      <c r="B74" s="30" t="inlineStr"/>
      <c r="C74" s="30" t="inlineStr">
        <is>
          <t>Opening</t>
        </is>
      </c>
      <c r="D74" s="30" t="inlineStr">
        <is>
          <t>Interest</t>
        </is>
      </c>
      <c r="E74" s="30" t="inlineStr">
        <is>
          <t>Principal</t>
        </is>
      </c>
      <c r="F74" s="30" t="inlineStr">
        <is>
          <t>Closing</t>
        </is>
      </c>
    </row>
    <row r="75">
      <c r="A75" s="21" t="n">
        <v>2026</v>
      </c>
      <c r="C75" s="13">
        <f>C23</f>
        <v/>
      </c>
      <c r="D75" s="13">
        <f>SUM(D23:D34)</f>
        <v/>
      </c>
      <c r="E75" s="13">
        <f>SUM(E23:E34)</f>
        <v/>
      </c>
      <c r="F75" s="13">
        <f>F34</f>
        <v/>
      </c>
    </row>
    <row r="76">
      <c r="A76" s="21" t="n">
        <v>2027</v>
      </c>
      <c r="C76" s="13">
        <f>C35</f>
        <v/>
      </c>
      <c r="D76" s="13">
        <f>SUM(D35:D46)</f>
        <v/>
      </c>
      <c r="E76" s="13">
        <f>SUM(E35:E46)</f>
        <v/>
      </c>
      <c r="F76" s="13">
        <f>F46</f>
        <v/>
      </c>
    </row>
    <row r="77">
      <c r="A77" s="21" t="n">
        <v>2028</v>
      </c>
      <c r="C77" s="13">
        <f>C47</f>
        <v/>
      </c>
      <c r="D77" s="13">
        <f>SUM(D47:D58)</f>
        <v/>
      </c>
      <c r="E77" s="13">
        <f>SUM(E47:E58)</f>
        <v/>
      </c>
      <c r="F77" s="13">
        <f>F58</f>
        <v/>
      </c>
    </row>
    <row r="78">
      <c r="A78" s="21" t="n">
        <v>2029</v>
      </c>
      <c r="C78" s="13">
        <f>C59</f>
        <v/>
      </c>
      <c r="D78" s="13">
        <f>SUM(D59:D70)</f>
        <v/>
      </c>
      <c r="E78" s="13">
        <f>SUM(E59:E70)</f>
        <v/>
      </c>
      <c r="F78" s="13">
        <f>F70</f>
        <v/>
      </c>
    </row>
    <row r="81">
      <c r="A81" s="1" t="inlineStr">
        <is>
          <t>CURRENT BALANCE (for DS link):</t>
        </is>
      </c>
      <c r="B81" s="31">
        <f>F34</f>
        <v/>
      </c>
    </row>
  </sheetData>
  <mergeCells count="4">
    <mergeCell ref="A73:F73"/>
    <mergeCell ref="A1:F1"/>
    <mergeCell ref="A12:F12"/>
    <mergeCell ref="B18:F18"/>
  </mergeCells>
  <pageMargins left="0.75" right="0.75" top="1" bottom="1" header="0.5" footer="0.5"/>
  <legacyDrawing xmlns:r="http://schemas.openxmlformats.org/officeDocument/2006/relationships" r:id="anysvml"/>
</worksheet>
</file>

<file path=xl/worksheets/sheet32.xml><?xml version="1.0" encoding="utf-8"?>
<worksheet xmlns="http://schemas.openxmlformats.org/spreadsheetml/2006/main">
  <sheetPr>
    <tabColor rgb="00808080"/>
    <outlinePr summaryBelow="1" summaryRight="1"/>
    <pageSetUpPr/>
  </sheetPr>
  <dimension ref="A1:F81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PACCAR FINANCIAL - LOAN #20</t>
        </is>
      </c>
    </row>
    <row r="2">
      <c r="A2" t="inlineStr">
        <is>
          <t>Description:</t>
        </is>
      </c>
      <c r="B2" s="4" t="inlineStr">
        <is>
          <t>5 Peterbilt 579s</t>
        </is>
      </c>
    </row>
    <row r="3">
      <c r="A3" t="inlineStr">
        <is>
          <t>Loan ID:</t>
        </is>
      </c>
      <c r="B3" t="inlineStr">
        <is>
          <t>05-2959-016-000-00</t>
        </is>
      </c>
    </row>
    <row r="4">
      <c r="A4" t="inlineStr">
        <is>
          <t>Loan Number:</t>
        </is>
      </c>
      <c r="B4" t="inlineStr">
        <is>
          <t>100-652-150-00007458888</t>
        </is>
      </c>
    </row>
    <row r="5">
      <c r="A5" t="inlineStr">
        <is>
          <t>Collateral:</t>
        </is>
      </c>
      <c r="B5" t="inlineStr">
        <is>
          <t>Equipment - Semi Trucks</t>
        </is>
      </c>
    </row>
    <row r="6">
      <c r="A6" t="inlineStr">
        <is>
          <t>Opening Balance (12/31/25):</t>
        </is>
      </c>
      <c r="B6" s="26" t="n">
        <v>721813</v>
      </c>
    </row>
    <row r="7">
      <c r="A7" t="inlineStr">
        <is>
          <t>Annual Interest Rate:</t>
        </is>
      </c>
      <c r="B7" s="6" t="n">
        <v>0.0658</v>
      </c>
    </row>
    <row r="8">
      <c r="A8" t="inlineStr">
        <is>
          <t>Monthly Payment:</t>
        </is>
      </c>
      <c r="B8" s="26" t="n">
        <v>17476</v>
      </c>
    </row>
    <row r="9">
      <c r="A9" t="inlineStr">
        <is>
          <t>Origination Date:</t>
        </is>
      </c>
      <c r="B9" s="32" t="n">
        <v>45322</v>
      </c>
    </row>
    <row r="10">
      <c r="A10" t="inlineStr">
        <is>
          <t>Maturity Date:</t>
        </is>
      </c>
      <c r="B10" s="32" t="n">
        <v>47438</v>
      </c>
    </row>
    <row r="12">
      <c r="A12" s="8" t="inlineStr">
        <is>
          <t>AI ANALYSIS</t>
        </is>
      </c>
    </row>
    <row r="13">
      <c r="A13" t="inlineStr">
        <is>
          <t>Loan Type:</t>
        </is>
      </c>
      <c r="B13" s="9" t="inlineStr">
        <is>
          <t>AMORTIZING</t>
        </is>
      </c>
    </row>
    <row r="14">
      <c r="A14" t="inlineStr">
        <is>
          <t>Lender:</t>
        </is>
      </c>
      <c r="B14" s="9" t="inlineStr">
        <is>
          <t>Paccar Financial</t>
        </is>
      </c>
    </row>
    <row r="15">
      <c r="A15" t="inlineStr">
        <is>
          <t>Equipment Type:</t>
        </is>
      </c>
      <c r="B15" s="9" t="inlineStr">
        <is>
          <t>Semi Trucks (Kenworth/Peterbilt)</t>
        </is>
      </c>
    </row>
    <row r="16">
      <c r="A16" t="inlineStr">
        <is>
          <t>Original Balance:</t>
        </is>
      </c>
      <c r="B16" s="28" t="n">
        <v>946797.3</v>
      </c>
    </row>
    <row r="17">
      <c r="A17" t="inlineStr">
        <is>
          <t>Months Remaining (from 1/1/26):</t>
        </is>
      </c>
      <c r="B17" s="9" t="n">
        <v>46</v>
      </c>
    </row>
    <row r="18">
      <c r="A18" t="inlineStr">
        <is>
          <t>Amortization Notes:</t>
        </is>
      </c>
      <c r="B18" s="9" t="inlineStr">
        <is>
          <t>Standard equipment financing with fixed monthly payments. Interest calculated on declining balance.</t>
        </is>
      </c>
    </row>
    <row r="19">
      <c r="A19" t="inlineStr">
        <is>
          <t>Source Document:</t>
        </is>
      </c>
      <c r="B19" s="9" t="inlineStr">
        <is>
          <t>Meiborg_Debt_Schedule_202512.xlsx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21" t="n">
        <v>1</v>
      </c>
      <c r="B23" s="33" t="n">
        <v>46023</v>
      </c>
      <c r="C23" s="13">
        <f>$B$6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21" t="n">
        <v>2</v>
      </c>
      <c r="B24" s="33" t="n">
        <v>46054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21" t="n">
        <v>3</v>
      </c>
      <c r="B25" s="33" t="n">
        <v>46082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21" t="n">
        <v>4</v>
      </c>
      <c r="B26" s="33" t="n">
        <v>46113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21" t="n">
        <v>5</v>
      </c>
      <c r="B27" s="33" t="n">
        <v>46143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21" t="n">
        <v>6</v>
      </c>
      <c r="B28" s="33" t="n">
        <v>46174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21" t="n">
        <v>7</v>
      </c>
      <c r="B29" s="33" t="n">
        <v>46204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21" t="n">
        <v>8</v>
      </c>
      <c r="B30" s="33" t="n">
        <v>46235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21" t="n">
        <v>9</v>
      </c>
      <c r="B31" s="33" t="n">
        <v>46266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21" t="n">
        <v>10</v>
      </c>
      <c r="B32" s="33" t="n">
        <v>46296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21" t="n">
        <v>11</v>
      </c>
      <c r="B33" s="33" t="n">
        <v>46327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4">
      <c r="A34" s="21" t="n">
        <v>12</v>
      </c>
      <c r="B34" s="33" t="n">
        <v>46357</v>
      </c>
      <c r="C34" s="13">
        <f>F33</f>
        <v/>
      </c>
      <c r="D34" s="13">
        <f>MAX(0,C34*$B$7/12)</f>
        <v/>
      </c>
      <c r="E34" s="13">
        <f>MAX(0,MIN(C34,$B$8-D34))</f>
        <v/>
      </c>
      <c r="F34" s="13">
        <f>MAX(0,C34-E34)</f>
        <v/>
      </c>
    </row>
    <row r="35">
      <c r="A35" s="21" t="n">
        <v>13</v>
      </c>
      <c r="B35" s="33" t="n">
        <v>46388</v>
      </c>
      <c r="C35" s="13">
        <f>F34</f>
        <v/>
      </c>
      <c r="D35" s="13">
        <f>MAX(0,C35*$B$7/12)</f>
        <v/>
      </c>
      <c r="E35" s="13">
        <f>MAX(0,MIN(C35,$B$8-D35))</f>
        <v/>
      </c>
      <c r="F35" s="13">
        <f>MAX(0,C35-E35)</f>
        <v/>
      </c>
    </row>
    <row r="36">
      <c r="A36" s="21" t="n">
        <v>14</v>
      </c>
      <c r="B36" s="33" t="n">
        <v>46419</v>
      </c>
      <c r="C36" s="13">
        <f>F35</f>
        <v/>
      </c>
      <c r="D36" s="13">
        <f>MAX(0,C36*$B$7/12)</f>
        <v/>
      </c>
      <c r="E36" s="13">
        <f>MAX(0,MIN(C36,$B$8-D36))</f>
        <v/>
      </c>
      <c r="F36" s="13">
        <f>MAX(0,C36-E36)</f>
        <v/>
      </c>
    </row>
    <row r="37">
      <c r="A37" s="21" t="n">
        <v>15</v>
      </c>
      <c r="B37" s="33" t="n">
        <v>46447</v>
      </c>
      <c r="C37" s="13">
        <f>F36</f>
        <v/>
      </c>
      <c r="D37" s="13">
        <f>MAX(0,C37*$B$7/12)</f>
        <v/>
      </c>
      <c r="E37" s="13">
        <f>MAX(0,MIN(C37,$B$8-D37))</f>
        <v/>
      </c>
      <c r="F37" s="13">
        <f>MAX(0,C37-E37)</f>
        <v/>
      </c>
    </row>
    <row r="38">
      <c r="A38" s="21" t="n">
        <v>16</v>
      </c>
      <c r="B38" s="33" t="n">
        <v>46478</v>
      </c>
      <c r="C38" s="13">
        <f>F37</f>
        <v/>
      </c>
      <c r="D38" s="13">
        <f>MAX(0,C38*$B$7/12)</f>
        <v/>
      </c>
      <c r="E38" s="13">
        <f>MAX(0,MIN(C38,$B$8-D38))</f>
        <v/>
      </c>
      <c r="F38" s="13">
        <f>MAX(0,C38-E38)</f>
        <v/>
      </c>
    </row>
    <row r="39">
      <c r="A39" s="21" t="n">
        <v>17</v>
      </c>
      <c r="B39" s="33" t="n">
        <v>46508</v>
      </c>
      <c r="C39" s="13">
        <f>F38</f>
        <v/>
      </c>
      <c r="D39" s="13">
        <f>MAX(0,C39*$B$7/12)</f>
        <v/>
      </c>
      <c r="E39" s="13">
        <f>MAX(0,MIN(C39,$B$8-D39))</f>
        <v/>
      </c>
      <c r="F39" s="13">
        <f>MAX(0,C39-E39)</f>
        <v/>
      </c>
    </row>
    <row r="40">
      <c r="A40" s="21" t="n">
        <v>18</v>
      </c>
      <c r="B40" s="33" t="n">
        <v>46539</v>
      </c>
      <c r="C40" s="13">
        <f>F39</f>
        <v/>
      </c>
      <c r="D40" s="13">
        <f>MAX(0,C40*$B$7/12)</f>
        <v/>
      </c>
      <c r="E40" s="13">
        <f>MAX(0,MIN(C40,$B$8-D40))</f>
        <v/>
      </c>
      <c r="F40" s="13">
        <f>MAX(0,C40-E40)</f>
        <v/>
      </c>
    </row>
    <row r="41">
      <c r="A41" s="21" t="n">
        <v>19</v>
      </c>
      <c r="B41" s="33" t="n">
        <v>46569</v>
      </c>
      <c r="C41" s="13">
        <f>F40</f>
        <v/>
      </c>
      <c r="D41" s="13">
        <f>MAX(0,C41*$B$7/12)</f>
        <v/>
      </c>
      <c r="E41" s="13">
        <f>MAX(0,MIN(C41,$B$8-D41))</f>
        <v/>
      </c>
      <c r="F41" s="13">
        <f>MAX(0,C41-E41)</f>
        <v/>
      </c>
    </row>
    <row r="42">
      <c r="A42" s="21" t="n">
        <v>20</v>
      </c>
      <c r="B42" s="33" t="n">
        <v>46600</v>
      </c>
      <c r="C42" s="13">
        <f>F41</f>
        <v/>
      </c>
      <c r="D42" s="13">
        <f>MAX(0,C42*$B$7/12)</f>
        <v/>
      </c>
      <c r="E42" s="13">
        <f>MAX(0,MIN(C42,$B$8-D42))</f>
        <v/>
      </c>
      <c r="F42" s="13">
        <f>MAX(0,C42-E42)</f>
        <v/>
      </c>
    </row>
    <row r="43">
      <c r="A43" s="21" t="n">
        <v>21</v>
      </c>
      <c r="B43" s="33" t="n">
        <v>46631</v>
      </c>
      <c r="C43" s="13">
        <f>F42</f>
        <v/>
      </c>
      <c r="D43" s="13">
        <f>MAX(0,C43*$B$7/12)</f>
        <v/>
      </c>
      <c r="E43" s="13">
        <f>MAX(0,MIN(C43,$B$8-D43))</f>
        <v/>
      </c>
      <c r="F43" s="13">
        <f>MAX(0,C43-E43)</f>
        <v/>
      </c>
    </row>
    <row r="44">
      <c r="A44" s="21" t="n">
        <v>22</v>
      </c>
      <c r="B44" s="33" t="n">
        <v>46661</v>
      </c>
      <c r="C44" s="13">
        <f>F43</f>
        <v/>
      </c>
      <c r="D44" s="13">
        <f>MAX(0,C44*$B$7/12)</f>
        <v/>
      </c>
      <c r="E44" s="13">
        <f>MAX(0,MIN(C44,$B$8-D44))</f>
        <v/>
      </c>
      <c r="F44" s="13">
        <f>MAX(0,C44-E44)</f>
        <v/>
      </c>
    </row>
    <row r="45">
      <c r="A45" s="21" t="n">
        <v>23</v>
      </c>
      <c r="B45" s="33" t="n">
        <v>46692</v>
      </c>
      <c r="C45" s="13">
        <f>F44</f>
        <v/>
      </c>
      <c r="D45" s="13">
        <f>MAX(0,C45*$B$7/12)</f>
        <v/>
      </c>
      <c r="E45" s="13">
        <f>MAX(0,MIN(C45,$B$8-D45))</f>
        <v/>
      </c>
      <c r="F45" s="13">
        <f>MAX(0,C45-E45)</f>
        <v/>
      </c>
    </row>
    <row r="46">
      <c r="A46" s="21" t="n">
        <v>24</v>
      </c>
      <c r="B46" s="33" t="n">
        <v>46722</v>
      </c>
      <c r="C46" s="13">
        <f>F45</f>
        <v/>
      </c>
      <c r="D46" s="13">
        <f>MAX(0,C46*$B$7/12)</f>
        <v/>
      </c>
      <c r="E46" s="13">
        <f>MAX(0,MIN(C46,$B$8-D46))</f>
        <v/>
      </c>
      <c r="F46" s="13">
        <f>MAX(0,C46-E46)</f>
        <v/>
      </c>
    </row>
    <row r="47">
      <c r="A47" s="21" t="n">
        <v>25</v>
      </c>
      <c r="B47" s="33" t="n">
        <v>46753</v>
      </c>
      <c r="C47" s="13">
        <f>F46</f>
        <v/>
      </c>
      <c r="D47" s="13">
        <f>MAX(0,C47*$B$7/12)</f>
        <v/>
      </c>
      <c r="E47" s="13">
        <f>MAX(0,MIN(C47,$B$8-D47))</f>
        <v/>
      </c>
      <c r="F47" s="13">
        <f>MAX(0,C47-E47)</f>
        <v/>
      </c>
    </row>
    <row r="48">
      <c r="A48" s="21" t="n">
        <v>26</v>
      </c>
      <c r="B48" s="33" t="n">
        <v>46784</v>
      </c>
      <c r="C48" s="13">
        <f>F47</f>
        <v/>
      </c>
      <c r="D48" s="13">
        <f>MAX(0,C48*$B$7/12)</f>
        <v/>
      </c>
      <c r="E48" s="13">
        <f>MAX(0,MIN(C48,$B$8-D48))</f>
        <v/>
      </c>
      <c r="F48" s="13">
        <f>MAX(0,C48-E48)</f>
        <v/>
      </c>
    </row>
    <row r="49">
      <c r="A49" s="21" t="n">
        <v>27</v>
      </c>
      <c r="B49" s="33" t="n">
        <v>46813</v>
      </c>
      <c r="C49" s="13">
        <f>F48</f>
        <v/>
      </c>
      <c r="D49" s="13">
        <f>MAX(0,C49*$B$7/12)</f>
        <v/>
      </c>
      <c r="E49" s="13">
        <f>MAX(0,MIN(C49,$B$8-D49))</f>
        <v/>
      </c>
      <c r="F49" s="13">
        <f>MAX(0,C49-E49)</f>
        <v/>
      </c>
    </row>
    <row r="50">
      <c r="A50" s="21" t="n">
        <v>28</v>
      </c>
      <c r="B50" s="33" t="n">
        <v>46844</v>
      </c>
      <c r="C50" s="13">
        <f>F49</f>
        <v/>
      </c>
      <c r="D50" s="13">
        <f>MAX(0,C50*$B$7/12)</f>
        <v/>
      </c>
      <c r="E50" s="13">
        <f>MAX(0,MIN(C50,$B$8-D50))</f>
        <v/>
      </c>
      <c r="F50" s="13">
        <f>MAX(0,C50-E50)</f>
        <v/>
      </c>
    </row>
    <row r="51">
      <c r="A51" s="21" t="n">
        <v>29</v>
      </c>
      <c r="B51" s="33" t="n">
        <v>46874</v>
      </c>
      <c r="C51" s="13">
        <f>F50</f>
        <v/>
      </c>
      <c r="D51" s="13">
        <f>MAX(0,C51*$B$7/12)</f>
        <v/>
      </c>
      <c r="E51" s="13">
        <f>MAX(0,MIN(C51,$B$8-D51))</f>
        <v/>
      </c>
      <c r="F51" s="13">
        <f>MAX(0,C51-E51)</f>
        <v/>
      </c>
    </row>
    <row r="52">
      <c r="A52" s="21" t="n">
        <v>30</v>
      </c>
      <c r="B52" s="33" t="n">
        <v>46905</v>
      </c>
      <c r="C52" s="13">
        <f>F51</f>
        <v/>
      </c>
      <c r="D52" s="13">
        <f>MAX(0,C52*$B$7/12)</f>
        <v/>
      </c>
      <c r="E52" s="13">
        <f>MAX(0,MIN(C52,$B$8-D52))</f>
        <v/>
      </c>
      <c r="F52" s="13">
        <f>MAX(0,C52-E52)</f>
        <v/>
      </c>
    </row>
    <row r="53">
      <c r="A53" s="21" t="n">
        <v>31</v>
      </c>
      <c r="B53" s="33" t="n">
        <v>46935</v>
      </c>
      <c r="C53" s="13">
        <f>F52</f>
        <v/>
      </c>
      <c r="D53" s="13">
        <f>MAX(0,C53*$B$7/12)</f>
        <v/>
      </c>
      <c r="E53" s="13">
        <f>MAX(0,MIN(C53,$B$8-D53))</f>
        <v/>
      </c>
      <c r="F53" s="13">
        <f>MAX(0,C53-E53)</f>
        <v/>
      </c>
    </row>
    <row r="54">
      <c r="A54" s="21" t="n">
        <v>32</v>
      </c>
      <c r="B54" s="33" t="n">
        <v>46966</v>
      </c>
      <c r="C54" s="13">
        <f>F53</f>
        <v/>
      </c>
      <c r="D54" s="13">
        <f>MAX(0,C54*$B$7/12)</f>
        <v/>
      </c>
      <c r="E54" s="13">
        <f>MAX(0,MIN(C54,$B$8-D54))</f>
        <v/>
      </c>
      <c r="F54" s="13">
        <f>MAX(0,C54-E54)</f>
        <v/>
      </c>
    </row>
    <row r="55">
      <c r="A55" s="21" t="n">
        <v>33</v>
      </c>
      <c r="B55" s="33" t="n">
        <v>46997</v>
      </c>
      <c r="C55" s="13">
        <f>F54</f>
        <v/>
      </c>
      <c r="D55" s="13">
        <f>MAX(0,C55*$B$7/12)</f>
        <v/>
      </c>
      <c r="E55" s="13">
        <f>MAX(0,MIN(C55,$B$8-D55))</f>
        <v/>
      </c>
      <c r="F55" s="13">
        <f>MAX(0,C55-E55)</f>
        <v/>
      </c>
    </row>
    <row r="56">
      <c r="A56" s="21" t="n">
        <v>34</v>
      </c>
      <c r="B56" s="33" t="n">
        <v>47027</v>
      </c>
      <c r="C56" s="13">
        <f>F55</f>
        <v/>
      </c>
      <c r="D56" s="13">
        <f>MAX(0,C56*$B$7/12)</f>
        <v/>
      </c>
      <c r="E56" s="13">
        <f>MAX(0,MIN(C56,$B$8-D56))</f>
        <v/>
      </c>
      <c r="F56" s="13">
        <f>MAX(0,C56-E56)</f>
        <v/>
      </c>
    </row>
    <row r="57">
      <c r="A57" s="21" t="n">
        <v>35</v>
      </c>
      <c r="B57" s="33" t="n">
        <v>47058</v>
      </c>
      <c r="C57" s="13">
        <f>F56</f>
        <v/>
      </c>
      <c r="D57" s="13">
        <f>MAX(0,C57*$B$7/12)</f>
        <v/>
      </c>
      <c r="E57" s="13">
        <f>MAX(0,MIN(C57,$B$8-D57))</f>
        <v/>
      </c>
      <c r="F57" s="13">
        <f>MAX(0,C57-E57)</f>
        <v/>
      </c>
    </row>
    <row r="58">
      <c r="A58" s="21" t="n">
        <v>36</v>
      </c>
      <c r="B58" s="33" t="n">
        <v>47088</v>
      </c>
      <c r="C58" s="13">
        <f>F57</f>
        <v/>
      </c>
      <c r="D58" s="13">
        <f>MAX(0,C58*$B$7/12)</f>
        <v/>
      </c>
      <c r="E58" s="13">
        <f>MAX(0,MIN(C58,$B$8-D58))</f>
        <v/>
      </c>
      <c r="F58" s="13">
        <f>MAX(0,C58-E58)</f>
        <v/>
      </c>
    </row>
    <row r="59">
      <c r="A59" s="21" t="n">
        <v>37</v>
      </c>
      <c r="B59" s="33" t="n">
        <v>47119</v>
      </c>
      <c r="C59" s="13">
        <f>F58</f>
        <v/>
      </c>
      <c r="D59" s="13">
        <f>MAX(0,C59*$B$7/12)</f>
        <v/>
      </c>
      <c r="E59" s="13">
        <f>MAX(0,MIN(C59,$B$8-D59))</f>
        <v/>
      </c>
      <c r="F59" s="13">
        <f>MAX(0,C59-E59)</f>
        <v/>
      </c>
    </row>
    <row r="60">
      <c r="A60" s="21" t="n">
        <v>38</v>
      </c>
      <c r="B60" s="33" t="n">
        <v>47150</v>
      </c>
      <c r="C60" s="13">
        <f>F59</f>
        <v/>
      </c>
      <c r="D60" s="13">
        <f>MAX(0,C60*$B$7/12)</f>
        <v/>
      </c>
      <c r="E60" s="13">
        <f>MAX(0,MIN(C60,$B$8-D60))</f>
        <v/>
      </c>
      <c r="F60" s="13">
        <f>MAX(0,C60-E60)</f>
        <v/>
      </c>
    </row>
    <row r="61">
      <c r="A61" s="21" t="n">
        <v>39</v>
      </c>
      <c r="B61" s="33" t="n">
        <v>47178</v>
      </c>
      <c r="C61" s="13">
        <f>F60</f>
        <v/>
      </c>
      <c r="D61" s="13">
        <f>MAX(0,C61*$B$7/12)</f>
        <v/>
      </c>
      <c r="E61" s="13">
        <f>MAX(0,MIN(C61,$B$8-D61))</f>
        <v/>
      </c>
      <c r="F61" s="13">
        <f>MAX(0,C61-E61)</f>
        <v/>
      </c>
    </row>
    <row r="62">
      <c r="A62" s="21" t="n">
        <v>40</v>
      </c>
      <c r="B62" s="33" t="n">
        <v>47209</v>
      </c>
      <c r="C62" s="13">
        <f>F61</f>
        <v/>
      </c>
      <c r="D62" s="13">
        <f>MAX(0,C62*$B$7/12)</f>
        <v/>
      </c>
      <c r="E62" s="13">
        <f>MAX(0,MIN(C62,$B$8-D62))</f>
        <v/>
      </c>
      <c r="F62" s="13">
        <f>MAX(0,C62-E62)</f>
        <v/>
      </c>
    </row>
    <row r="63">
      <c r="A63" s="21" t="n">
        <v>41</v>
      </c>
      <c r="B63" s="33" t="n">
        <v>47239</v>
      </c>
      <c r="C63" s="13">
        <f>F62</f>
        <v/>
      </c>
      <c r="D63" s="13">
        <f>MAX(0,C63*$B$7/12)</f>
        <v/>
      </c>
      <c r="E63" s="13">
        <f>MAX(0,MIN(C63,$B$8-D63))</f>
        <v/>
      </c>
      <c r="F63" s="13">
        <f>MAX(0,C63-E63)</f>
        <v/>
      </c>
    </row>
    <row r="64">
      <c r="A64" s="21" t="n">
        <v>42</v>
      </c>
      <c r="B64" s="33" t="n">
        <v>47270</v>
      </c>
      <c r="C64" s="13">
        <f>F63</f>
        <v/>
      </c>
      <c r="D64" s="13">
        <f>MAX(0,C64*$B$7/12)</f>
        <v/>
      </c>
      <c r="E64" s="13">
        <f>MAX(0,MIN(C64,$B$8-D64))</f>
        <v/>
      </c>
      <c r="F64" s="13">
        <f>MAX(0,C64-E64)</f>
        <v/>
      </c>
    </row>
    <row r="65">
      <c r="A65" s="21" t="n">
        <v>43</v>
      </c>
      <c r="B65" s="33" t="n">
        <v>47300</v>
      </c>
      <c r="C65" s="13">
        <f>F64</f>
        <v/>
      </c>
      <c r="D65" s="13">
        <f>MAX(0,C65*$B$7/12)</f>
        <v/>
      </c>
      <c r="E65" s="13">
        <f>MAX(0,MIN(C65,$B$8-D65))</f>
        <v/>
      </c>
      <c r="F65" s="13">
        <f>MAX(0,C65-E65)</f>
        <v/>
      </c>
    </row>
    <row r="66">
      <c r="A66" s="21" t="n">
        <v>44</v>
      </c>
      <c r="B66" s="33" t="n">
        <v>47331</v>
      </c>
      <c r="C66" s="13">
        <f>F65</f>
        <v/>
      </c>
      <c r="D66" s="13">
        <f>MAX(0,C66*$B$7/12)</f>
        <v/>
      </c>
      <c r="E66" s="13">
        <f>MAX(0,MIN(C66,$B$8-D66))</f>
        <v/>
      </c>
      <c r="F66" s="13">
        <f>MAX(0,C66-E66)</f>
        <v/>
      </c>
    </row>
    <row r="67">
      <c r="A67" s="21" t="n">
        <v>45</v>
      </c>
      <c r="B67" s="33" t="n">
        <v>47362</v>
      </c>
      <c r="C67" s="13">
        <f>F66</f>
        <v/>
      </c>
      <c r="D67" s="13">
        <f>MAX(0,C67*$B$7/12)</f>
        <v/>
      </c>
      <c r="E67" s="13">
        <f>MAX(0,MIN(C67,$B$8-D67))</f>
        <v/>
      </c>
      <c r="F67" s="13">
        <f>MAX(0,C67-E67)</f>
        <v/>
      </c>
    </row>
    <row r="68">
      <c r="A68" s="21" t="n">
        <v>46</v>
      </c>
      <c r="B68" s="33" t="n">
        <v>47392</v>
      </c>
      <c r="C68" s="13">
        <f>F67</f>
        <v/>
      </c>
      <c r="D68" s="13">
        <f>MAX(0,C68*$B$7/12)</f>
        <v/>
      </c>
      <c r="E68" s="13">
        <f>MAX(0,MIN(C68,$B$8-D68))</f>
        <v/>
      </c>
      <c r="F68" s="13">
        <f>MAX(0,C68-E68)</f>
        <v/>
      </c>
    </row>
    <row r="69">
      <c r="A69" s="21" t="n">
        <v>47</v>
      </c>
      <c r="B69" s="33" t="n">
        <v>47423</v>
      </c>
      <c r="C69" s="13">
        <f>F68</f>
        <v/>
      </c>
      <c r="D69" s="13">
        <f>MAX(0,C69*$B$7/12)</f>
        <v/>
      </c>
      <c r="E69" s="13">
        <f>MAX(0,MIN(C69,$B$8-D69))</f>
        <v/>
      </c>
      <c r="F69" s="13">
        <f>MAX(0,C69-E69)</f>
        <v/>
      </c>
    </row>
    <row r="70">
      <c r="A70" s="21" t="n">
        <v>48</v>
      </c>
      <c r="B70" s="33" t="n">
        <v>47453</v>
      </c>
      <c r="C70" s="13">
        <f>F69</f>
        <v/>
      </c>
      <c r="D70" s="13">
        <f>MAX(0,C70*$B$7/12)</f>
        <v/>
      </c>
      <c r="E70" s="13">
        <f>MAX(0,MIN(C70,$B$8-D70))</f>
        <v/>
      </c>
      <c r="F70" s="13">
        <f>MAX(0,C70-E70)</f>
        <v/>
      </c>
    </row>
    <row r="73">
      <c r="A73" s="2" t="inlineStr">
        <is>
          <t>ANNUAL SUMMARY</t>
        </is>
      </c>
    </row>
    <row r="74">
      <c r="A74" s="30" t="inlineStr">
        <is>
          <t>Year</t>
        </is>
      </c>
      <c r="B74" s="30" t="inlineStr"/>
      <c r="C74" s="30" t="inlineStr">
        <is>
          <t>Opening</t>
        </is>
      </c>
      <c r="D74" s="30" t="inlineStr">
        <is>
          <t>Interest</t>
        </is>
      </c>
      <c r="E74" s="30" t="inlineStr">
        <is>
          <t>Principal</t>
        </is>
      </c>
      <c r="F74" s="30" t="inlineStr">
        <is>
          <t>Closing</t>
        </is>
      </c>
    </row>
    <row r="75">
      <c r="A75" s="21" t="n">
        <v>2026</v>
      </c>
      <c r="C75" s="13">
        <f>C23</f>
        <v/>
      </c>
      <c r="D75" s="13">
        <f>SUM(D23:D34)</f>
        <v/>
      </c>
      <c r="E75" s="13">
        <f>SUM(E23:E34)</f>
        <v/>
      </c>
      <c r="F75" s="13">
        <f>F34</f>
        <v/>
      </c>
    </row>
    <row r="76">
      <c r="A76" s="21" t="n">
        <v>2027</v>
      </c>
      <c r="C76" s="13">
        <f>C35</f>
        <v/>
      </c>
      <c r="D76" s="13">
        <f>SUM(D35:D46)</f>
        <v/>
      </c>
      <c r="E76" s="13">
        <f>SUM(E35:E46)</f>
        <v/>
      </c>
      <c r="F76" s="13">
        <f>F46</f>
        <v/>
      </c>
    </row>
    <row r="77">
      <c r="A77" s="21" t="n">
        <v>2028</v>
      </c>
      <c r="C77" s="13">
        <f>C47</f>
        <v/>
      </c>
      <c r="D77" s="13">
        <f>SUM(D47:D58)</f>
        <v/>
      </c>
      <c r="E77" s="13">
        <f>SUM(E47:E58)</f>
        <v/>
      </c>
      <c r="F77" s="13">
        <f>F58</f>
        <v/>
      </c>
    </row>
    <row r="78">
      <c r="A78" s="21" t="n">
        <v>2029</v>
      </c>
      <c r="C78" s="13">
        <f>C59</f>
        <v/>
      </c>
      <c r="D78" s="13">
        <f>SUM(D59:D70)</f>
        <v/>
      </c>
      <c r="E78" s="13">
        <f>SUM(E59:E70)</f>
        <v/>
      </c>
      <c r="F78" s="13">
        <f>F70</f>
        <v/>
      </c>
    </row>
    <row r="81">
      <c r="A81" s="1" t="inlineStr">
        <is>
          <t>CURRENT BALANCE (for DS link):</t>
        </is>
      </c>
      <c r="B81" s="31">
        <f>F34</f>
        <v/>
      </c>
    </row>
  </sheetData>
  <mergeCells count="4">
    <mergeCell ref="A73:F73"/>
    <mergeCell ref="A1:F1"/>
    <mergeCell ref="A12:F12"/>
    <mergeCell ref="B18:F18"/>
  </mergeCells>
  <pageMargins left="0.75" right="0.75" top="1" bottom="1" header="0.5" footer="0.5"/>
  <legacyDrawing xmlns:r="http://schemas.openxmlformats.org/officeDocument/2006/relationships" r:id="anysvml"/>
</worksheet>
</file>

<file path=xl/worksheets/sheet33.xml><?xml version="1.0" encoding="utf-8"?>
<worksheet xmlns="http://schemas.openxmlformats.org/spreadsheetml/2006/main">
  <sheetPr>
    <tabColor rgb="00808080"/>
    <outlinePr summaryBelow="1" summaryRight="1"/>
    <pageSetUpPr/>
  </sheetPr>
  <dimension ref="A1:F83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PACCAR FINANCIAL - LOAN #21</t>
        </is>
      </c>
    </row>
    <row r="2">
      <c r="A2" t="inlineStr">
        <is>
          <t>Description:</t>
        </is>
      </c>
      <c r="B2" s="4" t="inlineStr">
        <is>
          <t>8 T680</t>
        </is>
      </c>
    </row>
    <row r="3">
      <c r="A3" t="inlineStr">
        <is>
          <t>Loan ID:</t>
        </is>
      </c>
      <c r="B3" t="inlineStr">
        <is>
          <t>05-2959-018-000-00</t>
        </is>
      </c>
    </row>
    <row r="4">
      <c r="A4" t="inlineStr">
        <is>
          <t>Loan Number:</t>
        </is>
      </c>
      <c r="B4" t="inlineStr">
        <is>
          <t>100-683-150-00007463649</t>
        </is>
      </c>
    </row>
    <row r="5">
      <c r="A5" t="inlineStr">
        <is>
          <t>Collateral:</t>
        </is>
      </c>
      <c r="B5" t="inlineStr">
        <is>
          <t>Equipment - Semi Trucks</t>
        </is>
      </c>
    </row>
    <row r="6">
      <c r="A6" t="inlineStr">
        <is>
          <t>Opening Balance (12/31/25):</t>
        </is>
      </c>
      <c r="B6" s="26" t="n">
        <v>1152967</v>
      </c>
    </row>
    <row r="7">
      <c r="A7" t="inlineStr">
        <is>
          <t>Annual Interest Rate:</t>
        </is>
      </c>
      <c r="B7" s="6" t="n">
        <v>0.06619999999999999</v>
      </c>
    </row>
    <row r="8">
      <c r="A8" t="inlineStr">
        <is>
          <t>Monthly Payment:</t>
        </is>
      </c>
      <c r="B8" s="26" t="n">
        <v>27417</v>
      </c>
    </row>
    <row r="9">
      <c r="A9" t="inlineStr">
        <is>
          <t>Origination Date:</t>
        </is>
      </c>
      <c r="B9" s="32" t="n">
        <v>45344</v>
      </c>
    </row>
    <row r="10">
      <c r="A10" t="inlineStr">
        <is>
          <t>Maturity Date:</t>
        </is>
      </c>
      <c r="B10" s="32" t="n">
        <v>47459</v>
      </c>
    </row>
    <row r="12">
      <c r="A12" s="8" t="inlineStr">
        <is>
          <t>AI ANALYSIS</t>
        </is>
      </c>
    </row>
    <row r="13">
      <c r="A13" t="inlineStr">
        <is>
          <t>Loan Type:</t>
        </is>
      </c>
      <c r="B13" s="9" t="inlineStr">
        <is>
          <t>AMORTIZING</t>
        </is>
      </c>
    </row>
    <row r="14">
      <c r="A14" t="inlineStr">
        <is>
          <t>Lender:</t>
        </is>
      </c>
      <c r="B14" s="9" t="inlineStr">
        <is>
          <t>Paccar Financial</t>
        </is>
      </c>
    </row>
    <row r="15">
      <c r="A15" t="inlineStr">
        <is>
          <t>Equipment Type:</t>
        </is>
      </c>
      <c r="B15" s="9" t="inlineStr">
        <is>
          <t>Semi Trucks (Kenworth/Peterbilt)</t>
        </is>
      </c>
    </row>
    <row r="16">
      <c r="A16" t="inlineStr">
        <is>
          <t>Original Balance:</t>
        </is>
      </c>
      <c r="B16" s="28" t="n">
        <v>1484240</v>
      </c>
    </row>
    <row r="17">
      <c r="A17" t="inlineStr">
        <is>
          <t>Months Remaining (from 1/1/26):</t>
        </is>
      </c>
      <c r="B17" s="9" t="n">
        <v>47</v>
      </c>
    </row>
    <row r="18">
      <c r="A18" t="inlineStr">
        <is>
          <t>Amortization Notes:</t>
        </is>
      </c>
      <c r="B18" s="9" t="inlineStr">
        <is>
          <t>Standard equipment financing with fixed monthly payments. Interest calculated on declining balance.</t>
        </is>
      </c>
    </row>
    <row r="19">
      <c r="A19" t="inlineStr">
        <is>
          <t>Source Document:</t>
        </is>
      </c>
      <c r="B19" s="9" t="inlineStr">
        <is>
          <t>Meiborg_Debt_Schedule_202512.xlsx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21" t="n">
        <v>1</v>
      </c>
      <c r="B23" s="33" t="n">
        <v>46023</v>
      </c>
      <c r="C23" s="13">
        <f>$B$6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21" t="n">
        <v>2</v>
      </c>
      <c r="B24" s="33" t="n">
        <v>46054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21" t="n">
        <v>3</v>
      </c>
      <c r="B25" s="33" t="n">
        <v>46082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21" t="n">
        <v>4</v>
      </c>
      <c r="B26" s="33" t="n">
        <v>46113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21" t="n">
        <v>5</v>
      </c>
      <c r="B27" s="33" t="n">
        <v>46143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21" t="n">
        <v>6</v>
      </c>
      <c r="B28" s="33" t="n">
        <v>46174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21" t="n">
        <v>7</v>
      </c>
      <c r="B29" s="33" t="n">
        <v>46204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21" t="n">
        <v>8</v>
      </c>
      <c r="B30" s="33" t="n">
        <v>46235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21" t="n">
        <v>9</v>
      </c>
      <c r="B31" s="33" t="n">
        <v>46266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21" t="n">
        <v>10</v>
      </c>
      <c r="B32" s="33" t="n">
        <v>46296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21" t="n">
        <v>11</v>
      </c>
      <c r="B33" s="33" t="n">
        <v>46327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4">
      <c r="A34" s="21" t="n">
        <v>12</v>
      </c>
      <c r="B34" s="33" t="n">
        <v>46357</v>
      </c>
      <c r="C34" s="13">
        <f>F33</f>
        <v/>
      </c>
      <c r="D34" s="13">
        <f>MAX(0,C34*$B$7/12)</f>
        <v/>
      </c>
      <c r="E34" s="13">
        <f>MAX(0,MIN(C34,$B$8-D34))</f>
        <v/>
      </c>
      <c r="F34" s="13">
        <f>MAX(0,C34-E34)</f>
        <v/>
      </c>
    </row>
    <row r="35">
      <c r="A35" s="21" t="n">
        <v>13</v>
      </c>
      <c r="B35" s="33" t="n">
        <v>46388</v>
      </c>
      <c r="C35" s="13">
        <f>F34</f>
        <v/>
      </c>
      <c r="D35" s="13">
        <f>MAX(0,C35*$B$7/12)</f>
        <v/>
      </c>
      <c r="E35" s="13">
        <f>MAX(0,MIN(C35,$B$8-D35))</f>
        <v/>
      </c>
      <c r="F35" s="13">
        <f>MAX(0,C35-E35)</f>
        <v/>
      </c>
    </row>
    <row r="36">
      <c r="A36" s="21" t="n">
        <v>14</v>
      </c>
      <c r="B36" s="33" t="n">
        <v>46419</v>
      </c>
      <c r="C36" s="13">
        <f>F35</f>
        <v/>
      </c>
      <c r="D36" s="13">
        <f>MAX(0,C36*$B$7/12)</f>
        <v/>
      </c>
      <c r="E36" s="13">
        <f>MAX(0,MIN(C36,$B$8-D36))</f>
        <v/>
      </c>
      <c r="F36" s="13">
        <f>MAX(0,C36-E36)</f>
        <v/>
      </c>
    </row>
    <row r="37">
      <c r="A37" s="21" t="n">
        <v>15</v>
      </c>
      <c r="B37" s="33" t="n">
        <v>46447</v>
      </c>
      <c r="C37" s="13">
        <f>F36</f>
        <v/>
      </c>
      <c r="D37" s="13">
        <f>MAX(0,C37*$B$7/12)</f>
        <v/>
      </c>
      <c r="E37" s="13">
        <f>MAX(0,MIN(C37,$B$8-D37))</f>
        <v/>
      </c>
      <c r="F37" s="13">
        <f>MAX(0,C37-E37)</f>
        <v/>
      </c>
    </row>
    <row r="38">
      <c r="A38" s="21" t="n">
        <v>16</v>
      </c>
      <c r="B38" s="33" t="n">
        <v>46478</v>
      </c>
      <c r="C38" s="13">
        <f>F37</f>
        <v/>
      </c>
      <c r="D38" s="13">
        <f>MAX(0,C38*$B$7/12)</f>
        <v/>
      </c>
      <c r="E38" s="13">
        <f>MAX(0,MIN(C38,$B$8-D38))</f>
        <v/>
      </c>
      <c r="F38" s="13">
        <f>MAX(0,C38-E38)</f>
        <v/>
      </c>
    </row>
    <row r="39">
      <c r="A39" s="21" t="n">
        <v>17</v>
      </c>
      <c r="B39" s="33" t="n">
        <v>46508</v>
      </c>
      <c r="C39" s="13">
        <f>F38</f>
        <v/>
      </c>
      <c r="D39" s="13">
        <f>MAX(0,C39*$B$7/12)</f>
        <v/>
      </c>
      <c r="E39" s="13">
        <f>MAX(0,MIN(C39,$B$8-D39))</f>
        <v/>
      </c>
      <c r="F39" s="13">
        <f>MAX(0,C39-E39)</f>
        <v/>
      </c>
    </row>
    <row r="40">
      <c r="A40" s="21" t="n">
        <v>18</v>
      </c>
      <c r="B40" s="33" t="n">
        <v>46539</v>
      </c>
      <c r="C40" s="13">
        <f>F39</f>
        <v/>
      </c>
      <c r="D40" s="13">
        <f>MAX(0,C40*$B$7/12)</f>
        <v/>
      </c>
      <c r="E40" s="13">
        <f>MAX(0,MIN(C40,$B$8-D40))</f>
        <v/>
      </c>
      <c r="F40" s="13">
        <f>MAX(0,C40-E40)</f>
        <v/>
      </c>
    </row>
    <row r="41">
      <c r="A41" s="21" t="n">
        <v>19</v>
      </c>
      <c r="B41" s="33" t="n">
        <v>46569</v>
      </c>
      <c r="C41" s="13">
        <f>F40</f>
        <v/>
      </c>
      <c r="D41" s="13">
        <f>MAX(0,C41*$B$7/12)</f>
        <v/>
      </c>
      <c r="E41" s="13">
        <f>MAX(0,MIN(C41,$B$8-D41))</f>
        <v/>
      </c>
      <c r="F41" s="13">
        <f>MAX(0,C41-E41)</f>
        <v/>
      </c>
    </row>
    <row r="42">
      <c r="A42" s="21" t="n">
        <v>20</v>
      </c>
      <c r="B42" s="33" t="n">
        <v>46600</v>
      </c>
      <c r="C42" s="13">
        <f>F41</f>
        <v/>
      </c>
      <c r="D42" s="13">
        <f>MAX(0,C42*$B$7/12)</f>
        <v/>
      </c>
      <c r="E42" s="13">
        <f>MAX(0,MIN(C42,$B$8-D42))</f>
        <v/>
      </c>
      <c r="F42" s="13">
        <f>MAX(0,C42-E42)</f>
        <v/>
      </c>
    </row>
    <row r="43">
      <c r="A43" s="21" t="n">
        <v>21</v>
      </c>
      <c r="B43" s="33" t="n">
        <v>46631</v>
      </c>
      <c r="C43" s="13">
        <f>F42</f>
        <v/>
      </c>
      <c r="D43" s="13">
        <f>MAX(0,C43*$B$7/12)</f>
        <v/>
      </c>
      <c r="E43" s="13">
        <f>MAX(0,MIN(C43,$B$8-D43))</f>
        <v/>
      </c>
      <c r="F43" s="13">
        <f>MAX(0,C43-E43)</f>
        <v/>
      </c>
    </row>
    <row r="44">
      <c r="A44" s="21" t="n">
        <v>22</v>
      </c>
      <c r="B44" s="33" t="n">
        <v>46661</v>
      </c>
      <c r="C44" s="13">
        <f>F43</f>
        <v/>
      </c>
      <c r="D44" s="13">
        <f>MAX(0,C44*$B$7/12)</f>
        <v/>
      </c>
      <c r="E44" s="13">
        <f>MAX(0,MIN(C44,$B$8-D44))</f>
        <v/>
      </c>
      <c r="F44" s="13">
        <f>MAX(0,C44-E44)</f>
        <v/>
      </c>
    </row>
    <row r="45">
      <c r="A45" s="21" t="n">
        <v>23</v>
      </c>
      <c r="B45" s="33" t="n">
        <v>46692</v>
      </c>
      <c r="C45" s="13">
        <f>F44</f>
        <v/>
      </c>
      <c r="D45" s="13">
        <f>MAX(0,C45*$B$7/12)</f>
        <v/>
      </c>
      <c r="E45" s="13">
        <f>MAX(0,MIN(C45,$B$8-D45))</f>
        <v/>
      </c>
      <c r="F45" s="13">
        <f>MAX(0,C45-E45)</f>
        <v/>
      </c>
    </row>
    <row r="46">
      <c r="A46" s="21" t="n">
        <v>24</v>
      </c>
      <c r="B46" s="33" t="n">
        <v>46722</v>
      </c>
      <c r="C46" s="13">
        <f>F45</f>
        <v/>
      </c>
      <c r="D46" s="13">
        <f>MAX(0,C46*$B$7/12)</f>
        <v/>
      </c>
      <c r="E46" s="13">
        <f>MAX(0,MIN(C46,$B$8-D46))</f>
        <v/>
      </c>
      <c r="F46" s="13">
        <f>MAX(0,C46-E46)</f>
        <v/>
      </c>
    </row>
    <row r="47">
      <c r="A47" s="21" t="n">
        <v>25</v>
      </c>
      <c r="B47" s="33" t="n">
        <v>46753</v>
      </c>
      <c r="C47" s="13">
        <f>F46</f>
        <v/>
      </c>
      <c r="D47" s="13">
        <f>MAX(0,C47*$B$7/12)</f>
        <v/>
      </c>
      <c r="E47" s="13">
        <f>MAX(0,MIN(C47,$B$8-D47))</f>
        <v/>
      </c>
      <c r="F47" s="13">
        <f>MAX(0,C47-E47)</f>
        <v/>
      </c>
    </row>
    <row r="48">
      <c r="A48" s="21" t="n">
        <v>26</v>
      </c>
      <c r="B48" s="33" t="n">
        <v>46784</v>
      </c>
      <c r="C48" s="13">
        <f>F47</f>
        <v/>
      </c>
      <c r="D48" s="13">
        <f>MAX(0,C48*$B$7/12)</f>
        <v/>
      </c>
      <c r="E48" s="13">
        <f>MAX(0,MIN(C48,$B$8-D48))</f>
        <v/>
      </c>
      <c r="F48" s="13">
        <f>MAX(0,C48-E48)</f>
        <v/>
      </c>
    </row>
    <row r="49">
      <c r="A49" s="21" t="n">
        <v>27</v>
      </c>
      <c r="B49" s="33" t="n">
        <v>46813</v>
      </c>
      <c r="C49" s="13">
        <f>F48</f>
        <v/>
      </c>
      <c r="D49" s="13">
        <f>MAX(0,C49*$B$7/12)</f>
        <v/>
      </c>
      <c r="E49" s="13">
        <f>MAX(0,MIN(C49,$B$8-D49))</f>
        <v/>
      </c>
      <c r="F49" s="13">
        <f>MAX(0,C49-E49)</f>
        <v/>
      </c>
    </row>
    <row r="50">
      <c r="A50" s="21" t="n">
        <v>28</v>
      </c>
      <c r="B50" s="33" t="n">
        <v>46844</v>
      </c>
      <c r="C50" s="13">
        <f>F49</f>
        <v/>
      </c>
      <c r="D50" s="13">
        <f>MAX(0,C50*$B$7/12)</f>
        <v/>
      </c>
      <c r="E50" s="13">
        <f>MAX(0,MIN(C50,$B$8-D50))</f>
        <v/>
      </c>
      <c r="F50" s="13">
        <f>MAX(0,C50-E50)</f>
        <v/>
      </c>
    </row>
    <row r="51">
      <c r="A51" s="21" t="n">
        <v>29</v>
      </c>
      <c r="B51" s="33" t="n">
        <v>46874</v>
      </c>
      <c r="C51" s="13">
        <f>F50</f>
        <v/>
      </c>
      <c r="D51" s="13">
        <f>MAX(0,C51*$B$7/12)</f>
        <v/>
      </c>
      <c r="E51" s="13">
        <f>MAX(0,MIN(C51,$B$8-D51))</f>
        <v/>
      </c>
      <c r="F51" s="13">
        <f>MAX(0,C51-E51)</f>
        <v/>
      </c>
    </row>
    <row r="52">
      <c r="A52" s="21" t="n">
        <v>30</v>
      </c>
      <c r="B52" s="33" t="n">
        <v>46905</v>
      </c>
      <c r="C52" s="13">
        <f>F51</f>
        <v/>
      </c>
      <c r="D52" s="13">
        <f>MAX(0,C52*$B$7/12)</f>
        <v/>
      </c>
      <c r="E52" s="13">
        <f>MAX(0,MIN(C52,$B$8-D52))</f>
        <v/>
      </c>
      <c r="F52" s="13">
        <f>MAX(0,C52-E52)</f>
        <v/>
      </c>
    </row>
    <row r="53">
      <c r="A53" s="21" t="n">
        <v>31</v>
      </c>
      <c r="B53" s="33" t="n">
        <v>46935</v>
      </c>
      <c r="C53" s="13">
        <f>F52</f>
        <v/>
      </c>
      <c r="D53" s="13">
        <f>MAX(0,C53*$B$7/12)</f>
        <v/>
      </c>
      <c r="E53" s="13">
        <f>MAX(0,MIN(C53,$B$8-D53))</f>
        <v/>
      </c>
      <c r="F53" s="13">
        <f>MAX(0,C53-E53)</f>
        <v/>
      </c>
    </row>
    <row r="54">
      <c r="A54" s="21" t="n">
        <v>32</v>
      </c>
      <c r="B54" s="33" t="n">
        <v>46966</v>
      </c>
      <c r="C54" s="13">
        <f>F53</f>
        <v/>
      </c>
      <c r="D54" s="13">
        <f>MAX(0,C54*$B$7/12)</f>
        <v/>
      </c>
      <c r="E54" s="13">
        <f>MAX(0,MIN(C54,$B$8-D54))</f>
        <v/>
      </c>
      <c r="F54" s="13">
        <f>MAX(0,C54-E54)</f>
        <v/>
      </c>
    </row>
    <row r="55">
      <c r="A55" s="21" t="n">
        <v>33</v>
      </c>
      <c r="B55" s="33" t="n">
        <v>46997</v>
      </c>
      <c r="C55" s="13">
        <f>F54</f>
        <v/>
      </c>
      <c r="D55" s="13">
        <f>MAX(0,C55*$B$7/12)</f>
        <v/>
      </c>
      <c r="E55" s="13">
        <f>MAX(0,MIN(C55,$B$8-D55))</f>
        <v/>
      </c>
      <c r="F55" s="13">
        <f>MAX(0,C55-E55)</f>
        <v/>
      </c>
    </row>
    <row r="56">
      <c r="A56" s="21" t="n">
        <v>34</v>
      </c>
      <c r="B56" s="33" t="n">
        <v>47027</v>
      </c>
      <c r="C56" s="13">
        <f>F55</f>
        <v/>
      </c>
      <c r="D56" s="13">
        <f>MAX(0,C56*$B$7/12)</f>
        <v/>
      </c>
      <c r="E56" s="13">
        <f>MAX(0,MIN(C56,$B$8-D56))</f>
        <v/>
      </c>
      <c r="F56" s="13">
        <f>MAX(0,C56-E56)</f>
        <v/>
      </c>
    </row>
    <row r="57">
      <c r="A57" s="21" t="n">
        <v>35</v>
      </c>
      <c r="B57" s="33" t="n">
        <v>47058</v>
      </c>
      <c r="C57" s="13">
        <f>F56</f>
        <v/>
      </c>
      <c r="D57" s="13">
        <f>MAX(0,C57*$B$7/12)</f>
        <v/>
      </c>
      <c r="E57" s="13">
        <f>MAX(0,MIN(C57,$B$8-D57))</f>
        <v/>
      </c>
      <c r="F57" s="13">
        <f>MAX(0,C57-E57)</f>
        <v/>
      </c>
    </row>
    <row r="58">
      <c r="A58" s="21" t="n">
        <v>36</v>
      </c>
      <c r="B58" s="33" t="n">
        <v>47088</v>
      </c>
      <c r="C58" s="13">
        <f>F57</f>
        <v/>
      </c>
      <c r="D58" s="13">
        <f>MAX(0,C58*$B$7/12)</f>
        <v/>
      </c>
      <c r="E58" s="13">
        <f>MAX(0,MIN(C58,$B$8-D58))</f>
        <v/>
      </c>
      <c r="F58" s="13">
        <f>MAX(0,C58-E58)</f>
        <v/>
      </c>
    </row>
    <row r="59">
      <c r="A59" s="21" t="n">
        <v>37</v>
      </c>
      <c r="B59" s="33" t="n">
        <v>47119</v>
      </c>
      <c r="C59" s="13">
        <f>F58</f>
        <v/>
      </c>
      <c r="D59" s="13">
        <f>MAX(0,C59*$B$7/12)</f>
        <v/>
      </c>
      <c r="E59" s="13">
        <f>MAX(0,MIN(C59,$B$8-D59))</f>
        <v/>
      </c>
      <c r="F59" s="13">
        <f>MAX(0,C59-E59)</f>
        <v/>
      </c>
    </row>
    <row r="60">
      <c r="A60" s="21" t="n">
        <v>38</v>
      </c>
      <c r="B60" s="33" t="n">
        <v>47150</v>
      </c>
      <c r="C60" s="13">
        <f>F59</f>
        <v/>
      </c>
      <c r="D60" s="13">
        <f>MAX(0,C60*$B$7/12)</f>
        <v/>
      </c>
      <c r="E60" s="13">
        <f>MAX(0,MIN(C60,$B$8-D60))</f>
        <v/>
      </c>
      <c r="F60" s="13">
        <f>MAX(0,C60-E60)</f>
        <v/>
      </c>
    </row>
    <row r="61">
      <c r="A61" s="21" t="n">
        <v>39</v>
      </c>
      <c r="B61" s="33" t="n">
        <v>47178</v>
      </c>
      <c r="C61" s="13">
        <f>F60</f>
        <v/>
      </c>
      <c r="D61" s="13">
        <f>MAX(0,C61*$B$7/12)</f>
        <v/>
      </c>
      <c r="E61" s="13">
        <f>MAX(0,MIN(C61,$B$8-D61))</f>
        <v/>
      </c>
      <c r="F61" s="13">
        <f>MAX(0,C61-E61)</f>
        <v/>
      </c>
    </row>
    <row r="62">
      <c r="A62" s="21" t="n">
        <v>40</v>
      </c>
      <c r="B62" s="33" t="n">
        <v>47209</v>
      </c>
      <c r="C62" s="13">
        <f>F61</f>
        <v/>
      </c>
      <c r="D62" s="13">
        <f>MAX(0,C62*$B$7/12)</f>
        <v/>
      </c>
      <c r="E62" s="13">
        <f>MAX(0,MIN(C62,$B$8-D62))</f>
        <v/>
      </c>
      <c r="F62" s="13">
        <f>MAX(0,C62-E62)</f>
        <v/>
      </c>
    </row>
    <row r="63">
      <c r="A63" s="21" t="n">
        <v>41</v>
      </c>
      <c r="B63" s="33" t="n">
        <v>47239</v>
      </c>
      <c r="C63" s="13">
        <f>F62</f>
        <v/>
      </c>
      <c r="D63" s="13">
        <f>MAX(0,C63*$B$7/12)</f>
        <v/>
      </c>
      <c r="E63" s="13">
        <f>MAX(0,MIN(C63,$B$8-D63))</f>
        <v/>
      </c>
      <c r="F63" s="13">
        <f>MAX(0,C63-E63)</f>
        <v/>
      </c>
    </row>
    <row r="64">
      <c r="A64" s="21" t="n">
        <v>42</v>
      </c>
      <c r="B64" s="33" t="n">
        <v>47270</v>
      </c>
      <c r="C64" s="13">
        <f>F63</f>
        <v/>
      </c>
      <c r="D64" s="13">
        <f>MAX(0,C64*$B$7/12)</f>
        <v/>
      </c>
      <c r="E64" s="13">
        <f>MAX(0,MIN(C64,$B$8-D64))</f>
        <v/>
      </c>
      <c r="F64" s="13">
        <f>MAX(0,C64-E64)</f>
        <v/>
      </c>
    </row>
    <row r="65">
      <c r="A65" s="21" t="n">
        <v>43</v>
      </c>
      <c r="B65" s="33" t="n">
        <v>47300</v>
      </c>
      <c r="C65" s="13">
        <f>F64</f>
        <v/>
      </c>
      <c r="D65" s="13">
        <f>MAX(0,C65*$B$7/12)</f>
        <v/>
      </c>
      <c r="E65" s="13">
        <f>MAX(0,MIN(C65,$B$8-D65))</f>
        <v/>
      </c>
      <c r="F65" s="13">
        <f>MAX(0,C65-E65)</f>
        <v/>
      </c>
    </row>
    <row r="66">
      <c r="A66" s="21" t="n">
        <v>44</v>
      </c>
      <c r="B66" s="33" t="n">
        <v>47331</v>
      </c>
      <c r="C66" s="13">
        <f>F65</f>
        <v/>
      </c>
      <c r="D66" s="13">
        <f>MAX(0,C66*$B$7/12)</f>
        <v/>
      </c>
      <c r="E66" s="13">
        <f>MAX(0,MIN(C66,$B$8-D66))</f>
        <v/>
      </c>
      <c r="F66" s="13">
        <f>MAX(0,C66-E66)</f>
        <v/>
      </c>
    </row>
    <row r="67">
      <c r="A67" s="21" t="n">
        <v>45</v>
      </c>
      <c r="B67" s="33" t="n">
        <v>47362</v>
      </c>
      <c r="C67" s="13">
        <f>F66</f>
        <v/>
      </c>
      <c r="D67" s="13">
        <f>MAX(0,C67*$B$7/12)</f>
        <v/>
      </c>
      <c r="E67" s="13">
        <f>MAX(0,MIN(C67,$B$8-D67))</f>
        <v/>
      </c>
      <c r="F67" s="13">
        <f>MAX(0,C67-E67)</f>
        <v/>
      </c>
    </row>
    <row r="68">
      <c r="A68" s="21" t="n">
        <v>46</v>
      </c>
      <c r="B68" s="33" t="n">
        <v>47392</v>
      </c>
      <c r="C68" s="13">
        <f>F67</f>
        <v/>
      </c>
      <c r="D68" s="13">
        <f>MAX(0,C68*$B$7/12)</f>
        <v/>
      </c>
      <c r="E68" s="13">
        <f>MAX(0,MIN(C68,$B$8-D68))</f>
        <v/>
      </c>
      <c r="F68" s="13">
        <f>MAX(0,C68-E68)</f>
        <v/>
      </c>
    </row>
    <row r="69">
      <c r="A69" s="21" t="n">
        <v>47</v>
      </c>
      <c r="B69" s="33" t="n">
        <v>47423</v>
      </c>
      <c r="C69" s="13">
        <f>F68</f>
        <v/>
      </c>
      <c r="D69" s="13">
        <f>MAX(0,C69*$B$7/12)</f>
        <v/>
      </c>
      <c r="E69" s="13">
        <f>MAX(0,MIN(C69,$B$8-D69))</f>
        <v/>
      </c>
      <c r="F69" s="13">
        <f>MAX(0,C69-E69)</f>
        <v/>
      </c>
    </row>
    <row r="70">
      <c r="A70" s="21" t="n">
        <v>48</v>
      </c>
      <c r="B70" s="33" t="n">
        <v>47453</v>
      </c>
      <c r="C70" s="13">
        <f>F69</f>
        <v/>
      </c>
      <c r="D70" s="13">
        <f>MAX(0,C70*$B$7/12)</f>
        <v/>
      </c>
      <c r="E70" s="13">
        <f>MAX(0,MIN(C70,$B$8-D70))</f>
        <v/>
      </c>
      <c r="F70" s="13">
        <f>MAX(0,C70-E70)</f>
        <v/>
      </c>
    </row>
    <row r="71">
      <c r="A71" s="21" t="n">
        <v>49</v>
      </c>
      <c r="B71" s="33" t="n">
        <v>47484</v>
      </c>
      <c r="C71" s="13">
        <f>F70</f>
        <v/>
      </c>
      <c r="D71" s="13">
        <f>MAX(0,C71*$B$7/12)</f>
        <v/>
      </c>
      <c r="E71" s="13">
        <f>MAX(0,MIN(C71,$B$8-D71))</f>
        <v/>
      </c>
      <c r="F71" s="13">
        <f>MAX(0,C71-E71)</f>
        <v/>
      </c>
    </row>
    <row r="74">
      <c r="A74" s="2" t="inlineStr">
        <is>
          <t>ANNUAL SUMMARY</t>
        </is>
      </c>
    </row>
    <row r="75">
      <c r="A75" s="30" t="inlineStr">
        <is>
          <t>Year</t>
        </is>
      </c>
      <c r="B75" s="30" t="inlineStr"/>
      <c r="C75" s="30" t="inlineStr">
        <is>
          <t>Opening</t>
        </is>
      </c>
      <c r="D75" s="30" t="inlineStr">
        <is>
          <t>Interest</t>
        </is>
      </c>
      <c r="E75" s="30" t="inlineStr">
        <is>
          <t>Principal</t>
        </is>
      </c>
      <c r="F75" s="30" t="inlineStr">
        <is>
          <t>Closing</t>
        </is>
      </c>
    </row>
    <row r="76">
      <c r="A76" s="21" t="n">
        <v>2026</v>
      </c>
      <c r="C76" s="13">
        <f>C23</f>
        <v/>
      </c>
      <c r="D76" s="13">
        <f>SUM(D23:D34)</f>
        <v/>
      </c>
      <c r="E76" s="13">
        <f>SUM(E23:E34)</f>
        <v/>
      </c>
      <c r="F76" s="13">
        <f>F34</f>
        <v/>
      </c>
    </row>
    <row r="77">
      <c r="A77" s="21" t="n">
        <v>2027</v>
      </c>
      <c r="C77" s="13">
        <f>C35</f>
        <v/>
      </c>
      <c r="D77" s="13">
        <f>SUM(D35:D46)</f>
        <v/>
      </c>
      <c r="E77" s="13">
        <f>SUM(E35:E46)</f>
        <v/>
      </c>
      <c r="F77" s="13">
        <f>F46</f>
        <v/>
      </c>
    </row>
    <row r="78">
      <c r="A78" s="21" t="n">
        <v>2028</v>
      </c>
      <c r="C78" s="13">
        <f>C47</f>
        <v/>
      </c>
      <c r="D78" s="13">
        <f>SUM(D47:D58)</f>
        <v/>
      </c>
      <c r="E78" s="13">
        <f>SUM(E47:E58)</f>
        <v/>
      </c>
      <c r="F78" s="13">
        <f>F58</f>
        <v/>
      </c>
    </row>
    <row r="79">
      <c r="A79" s="21" t="n">
        <v>2029</v>
      </c>
      <c r="C79" s="13">
        <f>C59</f>
        <v/>
      </c>
      <c r="D79" s="13">
        <f>SUM(D59:D70)</f>
        <v/>
      </c>
      <c r="E79" s="13">
        <f>SUM(E59:E70)</f>
        <v/>
      </c>
      <c r="F79" s="13">
        <f>F70</f>
        <v/>
      </c>
    </row>
    <row r="80">
      <c r="A80" s="21" t="n">
        <v>2030</v>
      </c>
      <c r="C80" s="13">
        <f>C71</f>
        <v/>
      </c>
      <c r="D80" s="13">
        <f>SUM(D71:D71)</f>
        <v/>
      </c>
      <c r="E80" s="13">
        <f>SUM(E71:E71)</f>
        <v/>
      </c>
      <c r="F80" s="13">
        <f>F71</f>
        <v/>
      </c>
    </row>
    <row r="83">
      <c r="A83" s="1" t="inlineStr">
        <is>
          <t>CURRENT BALANCE (for DS link):</t>
        </is>
      </c>
      <c r="B83" s="31">
        <f>F34</f>
        <v/>
      </c>
    </row>
  </sheetData>
  <mergeCells count="4">
    <mergeCell ref="A74:F74"/>
    <mergeCell ref="A1:F1"/>
    <mergeCell ref="A12:F12"/>
    <mergeCell ref="B18:F18"/>
  </mergeCells>
  <pageMargins left="0.75" right="0.75" top="1" bottom="1" header="0.5" footer="0.5"/>
  <legacyDrawing xmlns:r="http://schemas.openxmlformats.org/officeDocument/2006/relationships" r:id="anysvml"/>
</worksheet>
</file>

<file path=xl/worksheets/sheet34.xml><?xml version="1.0" encoding="utf-8"?>
<worksheet xmlns="http://schemas.openxmlformats.org/spreadsheetml/2006/main">
  <sheetPr>
    <tabColor rgb="00808080"/>
    <outlinePr summaryBelow="1" summaryRight="1"/>
    <pageSetUpPr/>
  </sheetPr>
  <dimension ref="A1:F83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PACCAR FINANCIAL - LOAN #22</t>
        </is>
      </c>
    </row>
    <row r="2">
      <c r="A2" t="inlineStr">
        <is>
          <t>Description:</t>
        </is>
      </c>
      <c r="B2" s="4" t="inlineStr">
        <is>
          <t>5 Peterbilt 579s</t>
        </is>
      </c>
    </row>
    <row r="3">
      <c r="A3" t="inlineStr">
        <is>
          <t>Loan ID:</t>
        </is>
      </c>
      <c r="B3" t="inlineStr">
        <is>
          <t>05-2959-019-000-00</t>
        </is>
      </c>
    </row>
    <row r="4">
      <c r="A4" t="inlineStr">
        <is>
          <t>Loan Number:</t>
        </is>
      </c>
      <c r="B4" t="inlineStr">
        <is>
          <t>100-683-150-00007464415</t>
        </is>
      </c>
    </row>
    <row r="5">
      <c r="A5" t="inlineStr">
        <is>
          <t>Collateral:</t>
        </is>
      </c>
      <c r="B5" t="inlineStr">
        <is>
          <t>Equipment - Semi Trucks</t>
        </is>
      </c>
    </row>
    <row r="6">
      <c r="A6" t="inlineStr">
        <is>
          <t>Opening Balance (12/31/25):</t>
        </is>
      </c>
      <c r="B6" s="26" t="n">
        <v>735448</v>
      </c>
    </row>
    <row r="7">
      <c r="A7" t="inlineStr">
        <is>
          <t>Annual Interest Rate:</t>
        </is>
      </c>
      <c r="B7" s="6" t="n">
        <v>0.06619999999999999</v>
      </c>
    </row>
    <row r="8">
      <c r="A8" t="inlineStr">
        <is>
          <t>Monthly Payment:</t>
        </is>
      </c>
      <c r="B8" s="26" t="n">
        <v>17494</v>
      </c>
    </row>
    <row r="9">
      <c r="A9" t="inlineStr">
        <is>
          <t>Origination Date:</t>
        </is>
      </c>
      <c r="B9" s="32" t="n">
        <v>45349</v>
      </c>
    </row>
    <row r="10">
      <c r="A10" t="inlineStr">
        <is>
          <t>Maturity Date:</t>
        </is>
      </c>
      <c r="B10" s="32" t="n">
        <v>47465</v>
      </c>
    </row>
    <row r="12">
      <c r="A12" s="8" t="inlineStr">
        <is>
          <t>AI ANALYSIS</t>
        </is>
      </c>
    </row>
    <row r="13">
      <c r="A13" t="inlineStr">
        <is>
          <t>Loan Type:</t>
        </is>
      </c>
      <c r="B13" s="9" t="inlineStr">
        <is>
          <t>AMORTIZING</t>
        </is>
      </c>
    </row>
    <row r="14">
      <c r="A14" t="inlineStr">
        <is>
          <t>Lender:</t>
        </is>
      </c>
      <c r="B14" s="9" t="inlineStr">
        <is>
          <t>Paccar Financial</t>
        </is>
      </c>
    </row>
    <row r="15">
      <c r="A15" t="inlineStr">
        <is>
          <t>Equipment Type:</t>
        </is>
      </c>
      <c r="B15" s="9" t="inlineStr">
        <is>
          <t>Semi Trucks (Kenworth/Peterbilt)</t>
        </is>
      </c>
    </row>
    <row r="16">
      <c r="A16" t="inlineStr">
        <is>
          <t>Original Balance:</t>
        </is>
      </c>
      <c r="B16" s="28" t="n">
        <v>946797.3</v>
      </c>
    </row>
    <row r="17">
      <c r="A17" t="inlineStr">
        <is>
          <t>Months Remaining (from 1/1/26):</t>
        </is>
      </c>
      <c r="B17" s="9" t="n">
        <v>47</v>
      </c>
    </row>
    <row r="18">
      <c r="A18" t="inlineStr">
        <is>
          <t>Amortization Notes:</t>
        </is>
      </c>
      <c r="B18" s="9" t="inlineStr">
        <is>
          <t>Standard equipment financing with fixed monthly payments. Interest calculated on declining balance.</t>
        </is>
      </c>
    </row>
    <row r="19">
      <c r="A19" t="inlineStr">
        <is>
          <t>Source Document:</t>
        </is>
      </c>
      <c r="B19" s="9" t="inlineStr">
        <is>
          <t>Meiborg_Debt_Schedule_202512.xlsx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21" t="n">
        <v>1</v>
      </c>
      <c r="B23" s="33" t="n">
        <v>46023</v>
      </c>
      <c r="C23" s="13">
        <f>$B$6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21" t="n">
        <v>2</v>
      </c>
      <c r="B24" s="33" t="n">
        <v>46054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21" t="n">
        <v>3</v>
      </c>
      <c r="B25" s="33" t="n">
        <v>46082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21" t="n">
        <v>4</v>
      </c>
      <c r="B26" s="33" t="n">
        <v>46113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21" t="n">
        <v>5</v>
      </c>
      <c r="B27" s="33" t="n">
        <v>46143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21" t="n">
        <v>6</v>
      </c>
      <c r="B28" s="33" t="n">
        <v>46174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21" t="n">
        <v>7</v>
      </c>
      <c r="B29" s="33" t="n">
        <v>46204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21" t="n">
        <v>8</v>
      </c>
      <c r="B30" s="33" t="n">
        <v>46235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21" t="n">
        <v>9</v>
      </c>
      <c r="B31" s="33" t="n">
        <v>46266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21" t="n">
        <v>10</v>
      </c>
      <c r="B32" s="33" t="n">
        <v>46296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21" t="n">
        <v>11</v>
      </c>
      <c r="B33" s="33" t="n">
        <v>46327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4">
      <c r="A34" s="21" t="n">
        <v>12</v>
      </c>
      <c r="B34" s="33" t="n">
        <v>46357</v>
      </c>
      <c r="C34" s="13">
        <f>F33</f>
        <v/>
      </c>
      <c r="D34" s="13">
        <f>MAX(0,C34*$B$7/12)</f>
        <v/>
      </c>
      <c r="E34" s="13">
        <f>MAX(0,MIN(C34,$B$8-D34))</f>
        <v/>
      </c>
      <c r="F34" s="13">
        <f>MAX(0,C34-E34)</f>
        <v/>
      </c>
    </row>
    <row r="35">
      <c r="A35" s="21" t="n">
        <v>13</v>
      </c>
      <c r="B35" s="33" t="n">
        <v>46388</v>
      </c>
      <c r="C35" s="13">
        <f>F34</f>
        <v/>
      </c>
      <c r="D35" s="13">
        <f>MAX(0,C35*$B$7/12)</f>
        <v/>
      </c>
      <c r="E35" s="13">
        <f>MAX(0,MIN(C35,$B$8-D35))</f>
        <v/>
      </c>
      <c r="F35" s="13">
        <f>MAX(0,C35-E35)</f>
        <v/>
      </c>
    </row>
    <row r="36">
      <c r="A36" s="21" t="n">
        <v>14</v>
      </c>
      <c r="B36" s="33" t="n">
        <v>46419</v>
      </c>
      <c r="C36" s="13">
        <f>F35</f>
        <v/>
      </c>
      <c r="D36" s="13">
        <f>MAX(0,C36*$B$7/12)</f>
        <v/>
      </c>
      <c r="E36" s="13">
        <f>MAX(0,MIN(C36,$B$8-D36))</f>
        <v/>
      </c>
      <c r="F36" s="13">
        <f>MAX(0,C36-E36)</f>
        <v/>
      </c>
    </row>
    <row r="37">
      <c r="A37" s="21" t="n">
        <v>15</v>
      </c>
      <c r="B37" s="33" t="n">
        <v>46447</v>
      </c>
      <c r="C37" s="13">
        <f>F36</f>
        <v/>
      </c>
      <c r="D37" s="13">
        <f>MAX(0,C37*$B$7/12)</f>
        <v/>
      </c>
      <c r="E37" s="13">
        <f>MAX(0,MIN(C37,$B$8-D37))</f>
        <v/>
      </c>
      <c r="F37" s="13">
        <f>MAX(0,C37-E37)</f>
        <v/>
      </c>
    </row>
    <row r="38">
      <c r="A38" s="21" t="n">
        <v>16</v>
      </c>
      <c r="B38" s="33" t="n">
        <v>46478</v>
      </c>
      <c r="C38" s="13">
        <f>F37</f>
        <v/>
      </c>
      <c r="D38" s="13">
        <f>MAX(0,C38*$B$7/12)</f>
        <v/>
      </c>
      <c r="E38" s="13">
        <f>MAX(0,MIN(C38,$B$8-D38))</f>
        <v/>
      </c>
      <c r="F38" s="13">
        <f>MAX(0,C38-E38)</f>
        <v/>
      </c>
    </row>
    <row r="39">
      <c r="A39" s="21" t="n">
        <v>17</v>
      </c>
      <c r="B39" s="33" t="n">
        <v>46508</v>
      </c>
      <c r="C39" s="13">
        <f>F38</f>
        <v/>
      </c>
      <c r="D39" s="13">
        <f>MAX(0,C39*$B$7/12)</f>
        <v/>
      </c>
      <c r="E39" s="13">
        <f>MAX(0,MIN(C39,$B$8-D39))</f>
        <v/>
      </c>
      <c r="F39" s="13">
        <f>MAX(0,C39-E39)</f>
        <v/>
      </c>
    </row>
    <row r="40">
      <c r="A40" s="21" t="n">
        <v>18</v>
      </c>
      <c r="B40" s="33" t="n">
        <v>46539</v>
      </c>
      <c r="C40" s="13">
        <f>F39</f>
        <v/>
      </c>
      <c r="D40" s="13">
        <f>MAX(0,C40*$B$7/12)</f>
        <v/>
      </c>
      <c r="E40" s="13">
        <f>MAX(0,MIN(C40,$B$8-D40))</f>
        <v/>
      </c>
      <c r="F40" s="13">
        <f>MAX(0,C40-E40)</f>
        <v/>
      </c>
    </row>
    <row r="41">
      <c r="A41" s="21" t="n">
        <v>19</v>
      </c>
      <c r="B41" s="33" t="n">
        <v>46569</v>
      </c>
      <c r="C41" s="13">
        <f>F40</f>
        <v/>
      </c>
      <c r="D41" s="13">
        <f>MAX(0,C41*$B$7/12)</f>
        <v/>
      </c>
      <c r="E41" s="13">
        <f>MAX(0,MIN(C41,$B$8-D41))</f>
        <v/>
      </c>
      <c r="F41" s="13">
        <f>MAX(0,C41-E41)</f>
        <v/>
      </c>
    </row>
    <row r="42">
      <c r="A42" s="21" t="n">
        <v>20</v>
      </c>
      <c r="B42" s="33" t="n">
        <v>46600</v>
      </c>
      <c r="C42" s="13">
        <f>F41</f>
        <v/>
      </c>
      <c r="D42" s="13">
        <f>MAX(0,C42*$B$7/12)</f>
        <v/>
      </c>
      <c r="E42" s="13">
        <f>MAX(0,MIN(C42,$B$8-D42))</f>
        <v/>
      </c>
      <c r="F42" s="13">
        <f>MAX(0,C42-E42)</f>
        <v/>
      </c>
    </row>
    <row r="43">
      <c r="A43" s="21" t="n">
        <v>21</v>
      </c>
      <c r="B43" s="33" t="n">
        <v>46631</v>
      </c>
      <c r="C43" s="13">
        <f>F42</f>
        <v/>
      </c>
      <c r="D43" s="13">
        <f>MAX(0,C43*$B$7/12)</f>
        <v/>
      </c>
      <c r="E43" s="13">
        <f>MAX(0,MIN(C43,$B$8-D43))</f>
        <v/>
      </c>
      <c r="F43" s="13">
        <f>MAX(0,C43-E43)</f>
        <v/>
      </c>
    </row>
    <row r="44">
      <c r="A44" s="21" t="n">
        <v>22</v>
      </c>
      <c r="B44" s="33" t="n">
        <v>46661</v>
      </c>
      <c r="C44" s="13">
        <f>F43</f>
        <v/>
      </c>
      <c r="D44" s="13">
        <f>MAX(0,C44*$B$7/12)</f>
        <v/>
      </c>
      <c r="E44" s="13">
        <f>MAX(0,MIN(C44,$B$8-D44))</f>
        <v/>
      </c>
      <c r="F44" s="13">
        <f>MAX(0,C44-E44)</f>
        <v/>
      </c>
    </row>
    <row r="45">
      <c r="A45" s="21" t="n">
        <v>23</v>
      </c>
      <c r="B45" s="33" t="n">
        <v>46692</v>
      </c>
      <c r="C45" s="13">
        <f>F44</f>
        <v/>
      </c>
      <c r="D45" s="13">
        <f>MAX(0,C45*$B$7/12)</f>
        <v/>
      </c>
      <c r="E45" s="13">
        <f>MAX(0,MIN(C45,$B$8-D45))</f>
        <v/>
      </c>
      <c r="F45" s="13">
        <f>MAX(0,C45-E45)</f>
        <v/>
      </c>
    </row>
    <row r="46">
      <c r="A46" s="21" t="n">
        <v>24</v>
      </c>
      <c r="B46" s="33" t="n">
        <v>46722</v>
      </c>
      <c r="C46" s="13">
        <f>F45</f>
        <v/>
      </c>
      <c r="D46" s="13">
        <f>MAX(0,C46*$B$7/12)</f>
        <v/>
      </c>
      <c r="E46" s="13">
        <f>MAX(0,MIN(C46,$B$8-D46))</f>
        <v/>
      </c>
      <c r="F46" s="13">
        <f>MAX(0,C46-E46)</f>
        <v/>
      </c>
    </row>
    <row r="47">
      <c r="A47" s="21" t="n">
        <v>25</v>
      </c>
      <c r="B47" s="33" t="n">
        <v>46753</v>
      </c>
      <c r="C47" s="13">
        <f>F46</f>
        <v/>
      </c>
      <c r="D47" s="13">
        <f>MAX(0,C47*$B$7/12)</f>
        <v/>
      </c>
      <c r="E47" s="13">
        <f>MAX(0,MIN(C47,$B$8-D47))</f>
        <v/>
      </c>
      <c r="F47" s="13">
        <f>MAX(0,C47-E47)</f>
        <v/>
      </c>
    </row>
    <row r="48">
      <c r="A48" s="21" t="n">
        <v>26</v>
      </c>
      <c r="B48" s="33" t="n">
        <v>46784</v>
      </c>
      <c r="C48" s="13">
        <f>F47</f>
        <v/>
      </c>
      <c r="D48" s="13">
        <f>MAX(0,C48*$B$7/12)</f>
        <v/>
      </c>
      <c r="E48" s="13">
        <f>MAX(0,MIN(C48,$B$8-D48))</f>
        <v/>
      </c>
      <c r="F48" s="13">
        <f>MAX(0,C48-E48)</f>
        <v/>
      </c>
    </row>
    <row r="49">
      <c r="A49" s="21" t="n">
        <v>27</v>
      </c>
      <c r="B49" s="33" t="n">
        <v>46813</v>
      </c>
      <c r="C49" s="13">
        <f>F48</f>
        <v/>
      </c>
      <c r="D49" s="13">
        <f>MAX(0,C49*$B$7/12)</f>
        <v/>
      </c>
      <c r="E49" s="13">
        <f>MAX(0,MIN(C49,$B$8-D49))</f>
        <v/>
      </c>
      <c r="F49" s="13">
        <f>MAX(0,C49-E49)</f>
        <v/>
      </c>
    </row>
    <row r="50">
      <c r="A50" s="21" t="n">
        <v>28</v>
      </c>
      <c r="B50" s="33" t="n">
        <v>46844</v>
      </c>
      <c r="C50" s="13">
        <f>F49</f>
        <v/>
      </c>
      <c r="D50" s="13">
        <f>MAX(0,C50*$B$7/12)</f>
        <v/>
      </c>
      <c r="E50" s="13">
        <f>MAX(0,MIN(C50,$B$8-D50))</f>
        <v/>
      </c>
      <c r="F50" s="13">
        <f>MAX(0,C50-E50)</f>
        <v/>
      </c>
    </row>
    <row r="51">
      <c r="A51" s="21" t="n">
        <v>29</v>
      </c>
      <c r="B51" s="33" t="n">
        <v>46874</v>
      </c>
      <c r="C51" s="13">
        <f>F50</f>
        <v/>
      </c>
      <c r="D51" s="13">
        <f>MAX(0,C51*$B$7/12)</f>
        <v/>
      </c>
      <c r="E51" s="13">
        <f>MAX(0,MIN(C51,$B$8-D51))</f>
        <v/>
      </c>
      <c r="F51" s="13">
        <f>MAX(0,C51-E51)</f>
        <v/>
      </c>
    </row>
    <row r="52">
      <c r="A52" s="21" t="n">
        <v>30</v>
      </c>
      <c r="B52" s="33" t="n">
        <v>46905</v>
      </c>
      <c r="C52" s="13">
        <f>F51</f>
        <v/>
      </c>
      <c r="D52" s="13">
        <f>MAX(0,C52*$B$7/12)</f>
        <v/>
      </c>
      <c r="E52" s="13">
        <f>MAX(0,MIN(C52,$B$8-D52))</f>
        <v/>
      </c>
      <c r="F52" s="13">
        <f>MAX(0,C52-E52)</f>
        <v/>
      </c>
    </row>
    <row r="53">
      <c r="A53" s="21" t="n">
        <v>31</v>
      </c>
      <c r="B53" s="33" t="n">
        <v>46935</v>
      </c>
      <c r="C53" s="13">
        <f>F52</f>
        <v/>
      </c>
      <c r="D53" s="13">
        <f>MAX(0,C53*$B$7/12)</f>
        <v/>
      </c>
      <c r="E53" s="13">
        <f>MAX(0,MIN(C53,$B$8-D53))</f>
        <v/>
      </c>
      <c r="F53" s="13">
        <f>MAX(0,C53-E53)</f>
        <v/>
      </c>
    </row>
    <row r="54">
      <c r="A54" s="21" t="n">
        <v>32</v>
      </c>
      <c r="B54" s="33" t="n">
        <v>46966</v>
      </c>
      <c r="C54" s="13">
        <f>F53</f>
        <v/>
      </c>
      <c r="D54" s="13">
        <f>MAX(0,C54*$B$7/12)</f>
        <v/>
      </c>
      <c r="E54" s="13">
        <f>MAX(0,MIN(C54,$B$8-D54))</f>
        <v/>
      </c>
      <c r="F54" s="13">
        <f>MAX(0,C54-E54)</f>
        <v/>
      </c>
    </row>
    <row r="55">
      <c r="A55" s="21" t="n">
        <v>33</v>
      </c>
      <c r="B55" s="33" t="n">
        <v>46997</v>
      </c>
      <c r="C55" s="13">
        <f>F54</f>
        <v/>
      </c>
      <c r="D55" s="13">
        <f>MAX(0,C55*$B$7/12)</f>
        <v/>
      </c>
      <c r="E55" s="13">
        <f>MAX(0,MIN(C55,$B$8-D55))</f>
        <v/>
      </c>
      <c r="F55" s="13">
        <f>MAX(0,C55-E55)</f>
        <v/>
      </c>
    </row>
    <row r="56">
      <c r="A56" s="21" t="n">
        <v>34</v>
      </c>
      <c r="B56" s="33" t="n">
        <v>47027</v>
      </c>
      <c r="C56" s="13">
        <f>F55</f>
        <v/>
      </c>
      <c r="D56" s="13">
        <f>MAX(0,C56*$B$7/12)</f>
        <v/>
      </c>
      <c r="E56" s="13">
        <f>MAX(0,MIN(C56,$B$8-D56))</f>
        <v/>
      </c>
      <c r="F56" s="13">
        <f>MAX(0,C56-E56)</f>
        <v/>
      </c>
    </row>
    <row r="57">
      <c r="A57" s="21" t="n">
        <v>35</v>
      </c>
      <c r="B57" s="33" t="n">
        <v>47058</v>
      </c>
      <c r="C57" s="13">
        <f>F56</f>
        <v/>
      </c>
      <c r="D57" s="13">
        <f>MAX(0,C57*$B$7/12)</f>
        <v/>
      </c>
      <c r="E57" s="13">
        <f>MAX(0,MIN(C57,$B$8-D57))</f>
        <v/>
      </c>
      <c r="F57" s="13">
        <f>MAX(0,C57-E57)</f>
        <v/>
      </c>
    </row>
    <row r="58">
      <c r="A58" s="21" t="n">
        <v>36</v>
      </c>
      <c r="B58" s="33" t="n">
        <v>47088</v>
      </c>
      <c r="C58" s="13">
        <f>F57</f>
        <v/>
      </c>
      <c r="D58" s="13">
        <f>MAX(0,C58*$B$7/12)</f>
        <v/>
      </c>
      <c r="E58" s="13">
        <f>MAX(0,MIN(C58,$B$8-D58))</f>
        <v/>
      </c>
      <c r="F58" s="13">
        <f>MAX(0,C58-E58)</f>
        <v/>
      </c>
    </row>
    <row r="59">
      <c r="A59" s="21" t="n">
        <v>37</v>
      </c>
      <c r="B59" s="33" t="n">
        <v>47119</v>
      </c>
      <c r="C59" s="13">
        <f>F58</f>
        <v/>
      </c>
      <c r="D59" s="13">
        <f>MAX(0,C59*$B$7/12)</f>
        <v/>
      </c>
      <c r="E59" s="13">
        <f>MAX(0,MIN(C59,$B$8-D59))</f>
        <v/>
      </c>
      <c r="F59" s="13">
        <f>MAX(0,C59-E59)</f>
        <v/>
      </c>
    </row>
    <row r="60">
      <c r="A60" s="21" t="n">
        <v>38</v>
      </c>
      <c r="B60" s="33" t="n">
        <v>47150</v>
      </c>
      <c r="C60" s="13">
        <f>F59</f>
        <v/>
      </c>
      <c r="D60" s="13">
        <f>MAX(0,C60*$B$7/12)</f>
        <v/>
      </c>
      <c r="E60" s="13">
        <f>MAX(0,MIN(C60,$B$8-D60))</f>
        <v/>
      </c>
      <c r="F60" s="13">
        <f>MAX(0,C60-E60)</f>
        <v/>
      </c>
    </row>
    <row r="61">
      <c r="A61" s="21" t="n">
        <v>39</v>
      </c>
      <c r="B61" s="33" t="n">
        <v>47178</v>
      </c>
      <c r="C61" s="13">
        <f>F60</f>
        <v/>
      </c>
      <c r="D61" s="13">
        <f>MAX(0,C61*$B$7/12)</f>
        <v/>
      </c>
      <c r="E61" s="13">
        <f>MAX(0,MIN(C61,$B$8-D61))</f>
        <v/>
      </c>
      <c r="F61" s="13">
        <f>MAX(0,C61-E61)</f>
        <v/>
      </c>
    </row>
    <row r="62">
      <c r="A62" s="21" t="n">
        <v>40</v>
      </c>
      <c r="B62" s="33" t="n">
        <v>47209</v>
      </c>
      <c r="C62" s="13">
        <f>F61</f>
        <v/>
      </c>
      <c r="D62" s="13">
        <f>MAX(0,C62*$B$7/12)</f>
        <v/>
      </c>
      <c r="E62" s="13">
        <f>MAX(0,MIN(C62,$B$8-D62))</f>
        <v/>
      </c>
      <c r="F62" s="13">
        <f>MAX(0,C62-E62)</f>
        <v/>
      </c>
    </row>
    <row r="63">
      <c r="A63" s="21" t="n">
        <v>41</v>
      </c>
      <c r="B63" s="33" t="n">
        <v>47239</v>
      </c>
      <c r="C63" s="13">
        <f>F62</f>
        <v/>
      </c>
      <c r="D63" s="13">
        <f>MAX(0,C63*$B$7/12)</f>
        <v/>
      </c>
      <c r="E63" s="13">
        <f>MAX(0,MIN(C63,$B$8-D63))</f>
        <v/>
      </c>
      <c r="F63" s="13">
        <f>MAX(0,C63-E63)</f>
        <v/>
      </c>
    </row>
    <row r="64">
      <c r="A64" s="21" t="n">
        <v>42</v>
      </c>
      <c r="B64" s="33" t="n">
        <v>47270</v>
      </c>
      <c r="C64" s="13">
        <f>F63</f>
        <v/>
      </c>
      <c r="D64" s="13">
        <f>MAX(0,C64*$B$7/12)</f>
        <v/>
      </c>
      <c r="E64" s="13">
        <f>MAX(0,MIN(C64,$B$8-D64))</f>
        <v/>
      </c>
      <c r="F64" s="13">
        <f>MAX(0,C64-E64)</f>
        <v/>
      </c>
    </row>
    <row r="65">
      <c r="A65" s="21" t="n">
        <v>43</v>
      </c>
      <c r="B65" s="33" t="n">
        <v>47300</v>
      </c>
      <c r="C65" s="13">
        <f>F64</f>
        <v/>
      </c>
      <c r="D65" s="13">
        <f>MAX(0,C65*$B$7/12)</f>
        <v/>
      </c>
      <c r="E65" s="13">
        <f>MAX(0,MIN(C65,$B$8-D65))</f>
        <v/>
      </c>
      <c r="F65" s="13">
        <f>MAX(0,C65-E65)</f>
        <v/>
      </c>
    </row>
    <row r="66">
      <c r="A66" s="21" t="n">
        <v>44</v>
      </c>
      <c r="B66" s="33" t="n">
        <v>47331</v>
      </c>
      <c r="C66" s="13">
        <f>F65</f>
        <v/>
      </c>
      <c r="D66" s="13">
        <f>MAX(0,C66*$B$7/12)</f>
        <v/>
      </c>
      <c r="E66" s="13">
        <f>MAX(0,MIN(C66,$B$8-D66))</f>
        <v/>
      </c>
      <c r="F66" s="13">
        <f>MAX(0,C66-E66)</f>
        <v/>
      </c>
    </row>
    <row r="67">
      <c r="A67" s="21" t="n">
        <v>45</v>
      </c>
      <c r="B67" s="33" t="n">
        <v>47362</v>
      </c>
      <c r="C67" s="13">
        <f>F66</f>
        <v/>
      </c>
      <c r="D67" s="13">
        <f>MAX(0,C67*$B$7/12)</f>
        <v/>
      </c>
      <c r="E67" s="13">
        <f>MAX(0,MIN(C67,$B$8-D67))</f>
        <v/>
      </c>
      <c r="F67" s="13">
        <f>MAX(0,C67-E67)</f>
        <v/>
      </c>
    </row>
    <row r="68">
      <c r="A68" s="21" t="n">
        <v>46</v>
      </c>
      <c r="B68" s="33" t="n">
        <v>47392</v>
      </c>
      <c r="C68" s="13">
        <f>F67</f>
        <v/>
      </c>
      <c r="D68" s="13">
        <f>MAX(0,C68*$B$7/12)</f>
        <v/>
      </c>
      <c r="E68" s="13">
        <f>MAX(0,MIN(C68,$B$8-D68))</f>
        <v/>
      </c>
      <c r="F68" s="13">
        <f>MAX(0,C68-E68)</f>
        <v/>
      </c>
    </row>
    <row r="69">
      <c r="A69" s="21" t="n">
        <v>47</v>
      </c>
      <c r="B69" s="33" t="n">
        <v>47423</v>
      </c>
      <c r="C69" s="13">
        <f>F68</f>
        <v/>
      </c>
      <c r="D69" s="13">
        <f>MAX(0,C69*$B$7/12)</f>
        <v/>
      </c>
      <c r="E69" s="13">
        <f>MAX(0,MIN(C69,$B$8-D69))</f>
        <v/>
      </c>
      <c r="F69" s="13">
        <f>MAX(0,C69-E69)</f>
        <v/>
      </c>
    </row>
    <row r="70">
      <c r="A70" s="21" t="n">
        <v>48</v>
      </c>
      <c r="B70" s="33" t="n">
        <v>47453</v>
      </c>
      <c r="C70" s="13">
        <f>F69</f>
        <v/>
      </c>
      <c r="D70" s="13">
        <f>MAX(0,C70*$B$7/12)</f>
        <v/>
      </c>
      <c r="E70" s="13">
        <f>MAX(0,MIN(C70,$B$8-D70))</f>
        <v/>
      </c>
      <c r="F70" s="13">
        <f>MAX(0,C70-E70)</f>
        <v/>
      </c>
    </row>
    <row r="71">
      <c r="A71" s="21" t="n">
        <v>49</v>
      </c>
      <c r="B71" s="33" t="n">
        <v>47484</v>
      </c>
      <c r="C71" s="13">
        <f>F70</f>
        <v/>
      </c>
      <c r="D71" s="13">
        <f>MAX(0,C71*$B$7/12)</f>
        <v/>
      </c>
      <c r="E71" s="13">
        <f>MAX(0,MIN(C71,$B$8-D71))</f>
        <v/>
      </c>
      <c r="F71" s="13">
        <f>MAX(0,C71-E71)</f>
        <v/>
      </c>
    </row>
    <row r="74">
      <c r="A74" s="2" t="inlineStr">
        <is>
          <t>ANNUAL SUMMARY</t>
        </is>
      </c>
    </row>
    <row r="75">
      <c r="A75" s="30" t="inlineStr">
        <is>
          <t>Year</t>
        </is>
      </c>
      <c r="B75" s="30" t="inlineStr"/>
      <c r="C75" s="30" t="inlineStr">
        <is>
          <t>Opening</t>
        </is>
      </c>
      <c r="D75" s="30" t="inlineStr">
        <is>
          <t>Interest</t>
        </is>
      </c>
      <c r="E75" s="30" t="inlineStr">
        <is>
          <t>Principal</t>
        </is>
      </c>
      <c r="F75" s="30" t="inlineStr">
        <is>
          <t>Closing</t>
        </is>
      </c>
    </row>
    <row r="76">
      <c r="A76" s="21" t="n">
        <v>2026</v>
      </c>
      <c r="C76" s="13">
        <f>C23</f>
        <v/>
      </c>
      <c r="D76" s="13">
        <f>SUM(D23:D34)</f>
        <v/>
      </c>
      <c r="E76" s="13">
        <f>SUM(E23:E34)</f>
        <v/>
      </c>
      <c r="F76" s="13">
        <f>F34</f>
        <v/>
      </c>
    </row>
    <row r="77">
      <c r="A77" s="21" t="n">
        <v>2027</v>
      </c>
      <c r="C77" s="13">
        <f>C35</f>
        <v/>
      </c>
      <c r="D77" s="13">
        <f>SUM(D35:D46)</f>
        <v/>
      </c>
      <c r="E77" s="13">
        <f>SUM(E35:E46)</f>
        <v/>
      </c>
      <c r="F77" s="13">
        <f>F46</f>
        <v/>
      </c>
    </row>
    <row r="78">
      <c r="A78" s="21" t="n">
        <v>2028</v>
      </c>
      <c r="C78" s="13">
        <f>C47</f>
        <v/>
      </c>
      <c r="D78" s="13">
        <f>SUM(D47:D58)</f>
        <v/>
      </c>
      <c r="E78" s="13">
        <f>SUM(E47:E58)</f>
        <v/>
      </c>
      <c r="F78" s="13">
        <f>F58</f>
        <v/>
      </c>
    </row>
    <row r="79">
      <c r="A79" s="21" t="n">
        <v>2029</v>
      </c>
      <c r="C79" s="13">
        <f>C59</f>
        <v/>
      </c>
      <c r="D79" s="13">
        <f>SUM(D59:D70)</f>
        <v/>
      </c>
      <c r="E79" s="13">
        <f>SUM(E59:E70)</f>
        <v/>
      </c>
      <c r="F79" s="13">
        <f>F70</f>
        <v/>
      </c>
    </row>
    <row r="80">
      <c r="A80" s="21" t="n">
        <v>2030</v>
      </c>
      <c r="C80" s="13">
        <f>C71</f>
        <v/>
      </c>
      <c r="D80" s="13">
        <f>SUM(D71:D71)</f>
        <v/>
      </c>
      <c r="E80" s="13">
        <f>SUM(E71:E71)</f>
        <v/>
      </c>
      <c r="F80" s="13">
        <f>F71</f>
        <v/>
      </c>
    </row>
    <row r="83">
      <c r="A83" s="1" t="inlineStr">
        <is>
          <t>CURRENT BALANCE (for DS link):</t>
        </is>
      </c>
      <c r="B83" s="31">
        <f>F34</f>
        <v/>
      </c>
    </row>
  </sheetData>
  <mergeCells count="4">
    <mergeCell ref="A74:F74"/>
    <mergeCell ref="A1:F1"/>
    <mergeCell ref="A12:F12"/>
    <mergeCell ref="B18:F18"/>
  </mergeCells>
  <pageMargins left="0.75" right="0.75" top="1" bottom="1" header="0.5" footer="0.5"/>
  <legacyDrawing xmlns:r="http://schemas.openxmlformats.org/officeDocument/2006/relationships" r:id="anysvml"/>
</worksheet>
</file>

<file path=xl/worksheets/sheet35.xml><?xml version="1.0" encoding="utf-8"?>
<worksheet xmlns="http://schemas.openxmlformats.org/spreadsheetml/2006/main">
  <sheetPr>
    <tabColor rgb="00808080"/>
    <outlinePr summaryBelow="1" summaryRight="1"/>
    <pageSetUpPr/>
  </sheetPr>
  <dimension ref="A1:G84"/>
  <sheetViews>
    <sheetView workbookViewId="0">
      <selection activeCell="A1" sqref="A1"/>
    </sheetView>
  </sheetViews>
  <sheetFormatPr baseColWidth="8" defaultRowHeight="15"/>
  <cols>
    <col width="14" customWidth="1" min="1" max="1"/>
    <col width="20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>
      <c r="A1" s="2" t="inlineStr">
        <is>
          <t>LOAN DETAILS</t>
        </is>
      </c>
    </row>
    <row r="2">
      <c r="A2" t="inlineStr">
        <is>
          <t>Lender:</t>
        </is>
      </c>
      <c r="B2" s="4" t="inlineStr">
        <is>
          <t>Ascentium Capital</t>
        </is>
      </c>
    </row>
    <row r="3">
      <c r="A3" t="inlineStr">
        <is>
          <t>Loan ID:</t>
        </is>
      </c>
      <c r="B3" s="4" t="inlineStr">
        <is>
          <t>01-2986-000-000-00</t>
        </is>
      </c>
    </row>
    <row r="4">
      <c r="A4" t="inlineStr">
        <is>
          <t>Loan Number:</t>
        </is>
      </c>
      <c r="B4" s="4" t="inlineStr">
        <is>
          <t>2844393</t>
        </is>
      </c>
    </row>
    <row r="5">
      <c r="A5" t="inlineStr">
        <is>
          <t>Description:</t>
        </is>
      </c>
      <c r="B5" s="4" t="inlineStr">
        <is>
          <t>5 Trailers - Texas 393</t>
        </is>
      </c>
    </row>
    <row r="6">
      <c r="A6" t="inlineStr">
        <is>
          <t>Collateral:</t>
        </is>
      </c>
      <c r="B6" s="4" t="inlineStr">
        <is>
          <t>Equipment - Trailers</t>
        </is>
      </c>
    </row>
    <row r="7">
      <c r="A7" t="inlineStr">
        <is>
          <t>Origination:</t>
        </is>
      </c>
      <c r="B7" s="4" t="inlineStr">
        <is>
          <t>06/30/2025</t>
        </is>
      </c>
    </row>
    <row r="8">
      <c r="A8" t="inlineStr">
        <is>
          <t>Maturity:</t>
        </is>
      </c>
      <c r="B8" s="4" t="inlineStr">
        <is>
          <t>06/01/2030</t>
        </is>
      </c>
    </row>
    <row r="9">
      <c r="A9" t="inlineStr">
        <is>
          <t>Original Balance:</t>
        </is>
      </c>
      <c r="B9" s="26" t="n">
        <v>272877.7</v>
      </c>
    </row>
    <row r="10">
      <c r="A10" t="inlineStr">
        <is>
          <t>Current Balance:</t>
        </is>
      </c>
      <c r="B10" s="26" t="n">
        <v>228450</v>
      </c>
    </row>
    <row r="11">
      <c r="A11" t="inlineStr">
        <is>
          <t>Annual Rate:</t>
        </is>
      </c>
      <c r="B11" s="6" t="n">
        <v>0.0835</v>
      </c>
    </row>
    <row r="12">
      <c r="A12" t="inlineStr">
        <is>
          <t>Monthly Payment:</t>
        </is>
      </c>
      <c r="B12" s="26" t="n">
        <v>5090</v>
      </c>
    </row>
    <row r="13">
      <c r="A13" t="inlineStr">
        <is>
          <t>Loan Type:</t>
        </is>
      </c>
      <c r="B13" s="4" t="inlineStr">
        <is>
          <t>AMORTIZING</t>
        </is>
      </c>
    </row>
    <row r="15">
      <c r="A15" s="20" t="inlineStr">
        <is>
          <t>AI ANALYSIS</t>
        </is>
      </c>
    </row>
    <row r="16">
      <c r="A16" t="inlineStr">
        <is>
          <t>Classification:</t>
        </is>
      </c>
      <c r="B16" s="9" t="inlineStr">
        <is>
          <t>Standard equipment financing loan with fixed monthly payments.</t>
        </is>
      </c>
    </row>
    <row r="17">
      <c r="A17" t="inlineStr">
        <is>
          <t>Amort. Notes:</t>
        </is>
      </c>
      <c r="B17" s="9" t="inlineStr">
        <is>
          <t>Self-amortizing over term. Rate: 8.35% APR.</t>
        </is>
      </c>
    </row>
    <row r="18">
      <c r="A18" t="inlineStr">
        <is>
          <t>Source Doc:</t>
        </is>
      </c>
      <c r="B18" s="9" t="inlineStr">
        <is>
          <t>Loan 48 - data/loans.md</t>
        </is>
      </c>
    </row>
    <row r="20">
      <c r="A20" s="10" t="inlineStr">
        <is>
          <t>Month #</t>
        </is>
      </c>
      <c r="B20" s="10" t="inlineStr">
        <is>
          <t>Date</t>
        </is>
      </c>
      <c r="C20" s="10" t="inlineStr">
        <is>
          <t>Opening Balance</t>
        </is>
      </c>
      <c r="D20" s="10" t="inlineStr">
        <is>
          <t>Interest</t>
        </is>
      </c>
      <c r="E20" s="10" t="inlineStr">
        <is>
          <t>Principal</t>
        </is>
      </c>
      <c r="F20" s="10" t="inlineStr">
        <is>
          <t>Closing Balance</t>
        </is>
      </c>
      <c r="G20" s="10" t="inlineStr">
        <is>
          <t>Year</t>
        </is>
      </c>
    </row>
    <row r="21">
      <c r="A21" s="21" t="n">
        <v>1</v>
      </c>
      <c r="B21" s="33" t="n">
        <v>46023</v>
      </c>
      <c r="C21" s="13">
        <f>B10</f>
        <v/>
      </c>
      <c r="D21" s="13">
        <f>MAX(0,C21*$B11/12)</f>
        <v/>
      </c>
      <c r="E21" s="13">
        <f>MAX(0,MIN(C21,$B12-D21))</f>
        <v/>
      </c>
      <c r="F21" s="13">
        <f>MAX(0,C21-E21)</f>
        <v/>
      </c>
      <c r="G21" s="21" t="n">
        <v>2026</v>
      </c>
    </row>
    <row r="22">
      <c r="A22" s="21" t="n">
        <v>2</v>
      </c>
      <c r="B22" s="33" t="n">
        <v>46054</v>
      </c>
      <c r="C22" s="13">
        <f>F21</f>
        <v/>
      </c>
      <c r="D22" s="13">
        <f>MAX(0,C22*$B11/12)</f>
        <v/>
      </c>
      <c r="E22" s="13">
        <f>MAX(0,MIN(C22,$B12-D22))</f>
        <v/>
      </c>
      <c r="F22" s="13">
        <f>MAX(0,C22-E22)</f>
        <v/>
      </c>
      <c r="G22" s="21" t="n">
        <v>2026</v>
      </c>
    </row>
    <row r="23">
      <c r="A23" s="21" t="n">
        <v>3</v>
      </c>
      <c r="B23" s="33" t="n">
        <v>46082</v>
      </c>
      <c r="C23" s="13">
        <f>F22</f>
        <v/>
      </c>
      <c r="D23" s="13">
        <f>MAX(0,C23*$B11/12)</f>
        <v/>
      </c>
      <c r="E23" s="13">
        <f>MAX(0,MIN(C23,$B12-D23))</f>
        <v/>
      </c>
      <c r="F23" s="13">
        <f>MAX(0,C23-E23)</f>
        <v/>
      </c>
      <c r="G23" s="21" t="n">
        <v>2026</v>
      </c>
    </row>
    <row r="24">
      <c r="A24" s="21" t="n">
        <v>4</v>
      </c>
      <c r="B24" s="33" t="n">
        <v>46113</v>
      </c>
      <c r="C24" s="13">
        <f>F23</f>
        <v/>
      </c>
      <c r="D24" s="13">
        <f>MAX(0,C24*$B11/12)</f>
        <v/>
      </c>
      <c r="E24" s="13">
        <f>MAX(0,MIN(C24,$B12-D24))</f>
        <v/>
      </c>
      <c r="F24" s="13">
        <f>MAX(0,C24-E24)</f>
        <v/>
      </c>
      <c r="G24" s="21" t="n">
        <v>2026</v>
      </c>
    </row>
    <row r="25">
      <c r="A25" s="21" t="n">
        <v>5</v>
      </c>
      <c r="B25" s="33" t="n">
        <v>46143</v>
      </c>
      <c r="C25" s="13">
        <f>F24</f>
        <v/>
      </c>
      <c r="D25" s="13">
        <f>MAX(0,C25*$B11/12)</f>
        <v/>
      </c>
      <c r="E25" s="13">
        <f>MAX(0,MIN(C25,$B12-D25))</f>
        <v/>
      </c>
      <c r="F25" s="13">
        <f>MAX(0,C25-E25)</f>
        <v/>
      </c>
      <c r="G25" s="21" t="n">
        <v>2026</v>
      </c>
    </row>
    <row r="26">
      <c r="A26" s="21" t="n">
        <v>6</v>
      </c>
      <c r="B26" s="33" t="n">
        <v>46174</v>
      </c>
      <c r="C26" s="13">
        <f>F25</f>
        <v/>
      </c>
      <c r="D26" s="13">
        <f>MAX(0,C26*$B11/12)</f>
        <v/>
      </c>
      <c r="E26" s="13">
        <f>MAX(0,MIN(C26,$B12-D26))</f>
        <v/>
      </c>
      <c r="F26" s="13">
        <f>MAX(0,C26-E26)</f>
        <v/>
      </c>
      <c r="G26" s="21" t="n">
        <v>2026</v>
      </c>
    </row>
    <row r="27">
      <c r="A27" s="21" t="n">
        <v>7</v>
      </c>
      <c r="B27" s="33" t="n">
        <v>46204</v>
      </c>
      <c r="C27" s="13">
        <f>F26</f>
        <v/>
      </c>
      <c r="D27" s="13">
        <f>MAX(0,C27*$B11/12)</f>
        <v/>
      </c>
      <c r="E27" s="13">
        <f>MAX(0,MIN(C27,$B12-D27))</f>
        <v/>
      </c>
      <c r="F27" s="13">
        <f>MAX(0,C27-E27)</f>
        <v/>
      </c>
      <c r="G27" s="21" t="n">
        <v>2026</v>
      </c>
    </row>
    <row r="28">
      <c r="A28" s="21" t="n">
        <v>8</v>
      </c>
      <c r="B28" s="33" t="n">
        <v>46235</v>
      </c>
      <c r="C28" s="13">
        <f>F27</f>
        <v/>
      </c>
      <c r="D28" s="13">
        <f>MAX(0,C28*$B11/12)</f>
        <v/>
      </c>
      <c r="E28" s="13">
        <f>MAX(0,MIN(C28,$B12-D28))</f>
        <v/>
      </c>
      <c r="F28" s="13">
        <f>MAX(0,C28-E28)</f>
        <v/>
      </c>
      <c r="G28" s="21" t="n">
        <v>2026</v>
      </c>
    </row>
    <row r="29">
      <c r="A29" s="21" t="n">
        <v>9</v>
      </c>
      <c r="B29" s="33" t="n">
        <v>46266</v>
      </c>
      <c r="C29" s="13">
        <f>F28</f>
        <v/>
      </c>
      <c r="D29" s="13">
        <f>MAX(0,C29*$B11/12)</f>
        <v/>
      </c>
      <c r="E29" s="13">
        <f>MAX(0,MIN(C29,$B12-D29))</f>
        <v/>
      </c>
      <c r="F29" s="13">
        <f>MAX(0,C29-E29)</f>
        <v/>
      </c>
      <c r="G29" s="21" t="n">
        <v>2026</v>
      </c>
    </row>
    <row r="30">
      <c r="A30" s="21" t="n">
        <v>10</v>
      </c>
      <c r="B30" s="33" t="n">
        <v>46296</v>
      </c>
      <c r="C30" s="13">
        <f>F29</f>
        <v/>
      </c>
      <c r="D30" s="13">
        <f>MAX(0,C30*$B11/12)</f>
        <v/>
      </c>
      <c r="E30" s="13">
        <f>MAX(0,MIN(C30,$B12-D30))</f>
        <v/>
      </c>
      <c r="F30" s="13">
        <f>MAX(0,C30-E30)</f>
        <v/>
      </c>
      <c r="G30" s="21" t="n">
        <v>2026</v>
      </c>
    </row>
    <row r="31">
      <c r="A31" s="21" t="n">
        <v>11</v>
      </c>
      <c r="B31" s="33" t="n">
        <v>46327</v>
      </c>
      <c r="C31" s="13">
        <f>F30</f>
        <v/>
      </c>
      <c r="D31" s="13">
        <f>MAX(0,C31*$B11/12)</f>
        <v/>
      </c>
      <c r="E31" s="13">
        <f>MAX(0,MIN(C31,$B12-D31))</f>
        <v/>
      </c>
      <c r="F31" s="13">
        <f>MAX(0,C31-E31)</f>
        <v/>
      </c>
      <c r="G31" s="21" t="n">
        <v>2026</v>
      </c>
    </row>
    <row r="32">
      <c r="A32" s="21" t="n">
        <v>12</v>
      </c>
      <c r="B32" s="33" t="n">
        <v>46357</v>
      </c>
      <c r="C32" s="13">
        <f>F31</f>
        <v/>
      </c>
      <c r="D32" s="13">
        <f>MAX(0,C32*$B11/12)</f>
        <v/>
      </c>
      <c r="E32" s="13">
        <f>MAX(0,MIN(C32,$B12-D32))</f>
        <v/>
      </c>
      <c r="F32" s="13">
        <f>MAX(0,C32-E32)</f>
        <v/>
      </c>
      <c r="G32" s="21" t="n">
        <v>2026</v>
      </c>
    </row>
    <row r="33">
      <c r="A33" s="21" t="n">
        <v>13</v>
      </c>
      <c r="B33" s="33" t="n">
        <v>46388</v>
      </c>
      <c r="C33" s="13">
        <f>F32</f>
        <v/>
      </c>
      <c r="D33" s="13">
        <f>MAX(0,C33*$B11/12)</f>
        <v/>
      </c>
      <c r="E33" s="13">
        <f>MAX(0,MIN(C33,$B12-D33))</f>
        <v/>
      </c>
      <c r="F33" s="13">
        <f>MAX(0,C33-E33)</f>
        <v/>
      </c>
      <c r="G33" s="21" t="n">
        <v>2027</v>
      </c>
    </row>
    <row r="34">
      <c r="A34" s="21" t="n">
        <v>14</v>
      </c>
      <c r="B34" s="33" t="n">
        <v>46419</v>
      </c>
      <c r="C34" s="13">
        <f>F33</f>
        <v/>
      </c>
      <c r="D34" s="13">
        <f>MAX(0,C34*$B11/12)</f>
        <v/>
      </c>
      <c r="E34" s="13">
        <f>MAX(0,MIN(C34,$B12-D34))</f>
        <v/>
      </c>
      <c r="F34" s="13">
        <f>MAX(0,C34-E34)</f>
        <v/>
      </c>
      <c r="G34" s="21" t="n">
        <v>2027</v>
      </c>
    </row>
    <row r="35">
      <c r="A35" s="21" t="n">
        <v>15</v>
      </c>
      <c r="B35" s="33" t="n">
        <v>46447</v>
      </c>
      <c r="C35" s="13">
        <f>F34</f>
        <v/>
      </c>
      <c r="D35" s="13">
        <f>MAX(0,C35*$B11/12)</f>
        <v/>
      </c>
      <c r="E35" s="13">
        <f>MAX(0,MIN(C35,$B12-D35))</f>
        <v/>
      </c>
      <c r="F35" s="13">
        <f>MAX(0,C35-E35)</f>
        <v/>
      </c>
      <c r="G35" s="21" t="n">
        <v>2027</v>
      </c>
    </row>
    <row r="36">
      <c r="A36" s="21" t="n">
        <v>16</v>
      </c>
      <c r="B36" s="33" t="n">
        <v>46478</v>
      </c>
      <c r="C36" s="13">
        <f>F35</f>
        <v/>
      </c>
      <c r="D36" s="13">
        <f>MAX(0,C36*$B11/12)</f>
        <v/>
      </c>
      <c r="E36" s="13">
        <f>MAX(0,MIN(C36,$B12-D36))</f>
        <v/>
      </c>
      <c r="F36" s="13">
        <f>MAX(0,C36-E36)</f>
        <v/>
      </c>
      <c r="G36" s="21" t="n">
        <v>2027</v>
      </c>
    </row>
    <row r="37">
      <c r="A37" s="21" t="n">
        <v>17</v>
      </c>
      <c r="B37" s="33" t="n">
        <v>46508</v>
      </c>
      <c r="C37" s="13">
        <f>F36</f>
        <v/>
      </c>
      <c r="D37" s="13">
        <f>MAX(0,C37*$B11/12)</f>
        <v/>
      </c>
      <c r="E37" s="13">
        <f>MAX(0,MIN(C37,$B12-D37))</f>
        <v/>
      </c>
      <c r="F37" s="13">
        <f>MAX(0,C37-E37)</f>
        <v/>
      </c>
      <c r="G37" s="21" t="n">
        <v>2027</v>
      </c>
    </row>
    <row r="38">
      <c r="A38" s="21" t="n">
        <v>18</v>
      </c>
      <c r="B38" s="33" t="n">
        <v>46539</v>
      </c>
      <c r="C38" s="13">
        <f>F37</f>
        <v/>
      </c>
      <c r="D38" s="13">
        <f>MAX(0,C38*$B11/12)</f>
        <v/>
      </c>
      <c r="E38" s="13">
        <f>MAX(0,MIN(C38,$B12-D38))</f>
        <v/>
      </c>
      <c r="F38" s="13">
        <f>MAX(0,C38-E38)</f>
        <v/>
      </c>
      <c r="G38" s="21" t="n">
        <v>2027</v>
      </c>
    </row>
    <row r="39">
      <c r="A39" s="21" t="n">
        <v>19</v>
      </c>
      <c r="B39" s="33" t="n">
        <v>46569</v>
      </c>
      <c r="C39" s="13">
        <f>F38</f>
        <v/>
      </c>
      <c r="D39" s="13">
        <f>MAX(0,C39*$B11/12)</f>
        <v/>
      </c>
      <c r="E39" s="13">
        <f>MAX(0,MIN(C39,$B12-D39))</f>
        <v/>
      </c>
      <c r="F39" s="13">
        <f>MAX(0,C39-E39)</f>
        <v/>
      </c>
      <c r="G39" s="21" t="n">
        <v>2027</v>
      </c>
    </row>
    <row r="40">
      <c r="A40" s="21" t="n">
        <v>20</v>
      </c>
      <c r="B40" s="33" t="n">
        <v>46600</v>
      </c>
      <c r="C40" s="13">
        <f>F39</f>
        <v/>
      </c>
      <c r="D40" s="13">
        <f>MAX(0,C40*$B11/12)</f>
        <v/>
      </c>
      <c r="E40" s="13">
        <f>MAX(0,MIN(C40,$B12-D40))</f>
        <v/>
      </c>
      <c r="F40" s="13">
        <f>MAX(0,C40-E40)</f>
        <v/>
      </c>
      <c r="G40" s="21" t="n">
        <v>2027</v>
      </c>
    </row>
    <row r="41">
      <c r="A41" s="21" t="n">
        <v>21</v>
      </c>
      <c r="B41" s="33" t="n">
        <v>46631</v>
      </c>
      <c r="C41" s="13">
        <f>F40</f>
        <v/>
      </c>
      <c r="D41" s="13">
        <f>MAX(0,C41*$B11/12)</f>
        <v/>
      </c>
      <c r="E41" s="13">
        <f>MAX(0,MIN(C41,$B12-D41))</f>
        <v/>
      </c>
      <c r="F41" s="13">
        <f>MAX(0,C41-E41)</f>
        <v/>
      </c>
      <c r="G41" s="21" t="n">
        <v>2027</v>
      </c>
    </row>
    <row r="42">
      <c r="A42" s="21" t="n">
        <v>22</v>
      </c>
      <c r="B42" s="33" t="n">
        <v>46661</v>
      </c>
      <c r="C42" s="13">
        <f>F41</f>
        <v/>
      </c>
      <c r="D42" s="13">
        <f>MAX(0,C42*$B11/12)</f>
        <v/>
      </c>
      <c r="E42" s="13">
        <f>MAX(0,MIN(C42,$B12-D42))</f>
        <v/>
      </c>
      <c r="F42" s="13">
        <f>MAX(0,C42-E42)</f>
        <v/>
      </c>
      <c r="G42" s="21" t="n">
        <v>2027</v>
      </c>
    </row>
    <row r="43">
      <c r="A43" s="21" t="n">
        <v>23</v>
      </c>
      <c r="B43" s="33" t="n">
        <v>46692</v>
      </c>
      <c r="C43" s="13">
        <f>F42</f>
        <v/>
      </c>
      <c r="D43" s="13">
        <f>MAX(0,C43*$B11/12)</f>
        <v/>
      </c>
      <c r="E43" s="13">
        <f>MAX(0,MIN(C43,$B12-D43))</f>
        <v/>
      </c>
      <c r="F43" s="13">
        <f>MAX(0,C43-E43)</f>
        <v/>
      </c>
      <c r="G43" s="21" t="n">
        <v>2027</v>
      </c>
    </row>
    <row r="44">
      <c r="A44" s="21" t="n">
        <v>24</v>
      </c>
      <c r="B44" s="33" t="n">
        <v>46722</v>
      </c>
      <c r="C44" s="13">
        <f>F43</f>
        <v/>
      </c>
      <c r="D44" s="13">
        <f>MAX(0,C44*$B11/12)</f>
        <v/>
      </c>
      <c r="E44" s="13">
        <f>MAX(0,MIN(C44,$B12-D44))</f>
        <v/>
      </c>
      <c r="F44" s="13">
        <f>MAX(0,C44-E44)</f>
        <v/>
      </c>
      <c r="G44" s="21" t="n">
        <v>2027</v>
      </c>
    </row>
    <row r="45">
      <c r="A45" s="21" t="n">
        <v>25</v>
      </c>
      <c r="B45" s="33" t="n">
        <v>46753</v>
      </c>
      <c r="C45" s="13">
        <f>F44</f>
        <v/>
      </c>
      <c r="D45" s="13">
        <f>MAX(0,C45*$B11/12)</f>
        <v/>
      </c>
      <c r="E45" s="13">
        <f>MAX(0,MIN(C45,$B12-D45))</f>
        <v/>
      </c>
      <c r="F45" s="13">
        <f>MAX(0,C45-E45)</f>
        <v/>
      </c>
      <c r="G45" s="21" t="n">
        <v>2028</v>
      </c>
    </row>
    <row r="46">
      <c r="A46" s="21" t="n">
        <v>26</v>
      </c>
      <c r="B46" s="33" t="n">
        <v>46784</v>
      </c>
      <c r="C46" s="13">
        <f>F45</f>
        <v/>
      </c>
      <c r="D46" s="13">
        <f>MAX(0,C46*$B11/12)</f>
        <v/>
      </c>
      <c r="E46" s="13">
        <f>MAX(0,MIN(C46,$B12-D46))</f>
        <v/>
      </c>
      <c r="F46" s="13">
        <f>MAX(0,C46-E46)</f>
        <v/>
      </c>
      <c r="G46" s="21" t="n">
        <v>2028</v>
      </c>
    </row>
    <row r="47">
      <c r="A47" s="21" t="n">
        <v>27</v>
      </c>
      <c r="B47" s="33" t="n">
        <v>46813</v>
      </c>
      <c r="C47" s="13">
        <f>F46</f>
        <v/>
      </c>
      <c r="D47" s="13">
        <f>MAX(0,C47*$B11/12)</f>
        <v/>
      </c>
      <c r="E47" s="13">
        <f>MAX(0,MIN(C47,$B12-D47))</f>
        <v/>
      </c>
      <c r="F47" s="13">
        <f>MAX(0,C47-E47)</f>
        <v/>
      </c>
      <c r="G47" s="21" t="n">
        <v>2028</v>
      </c>
    </row>
    <row r="48">
      <c r="A48" s="21" t="n">
        <v>28</v>
      </c>
      <c r="B48" s="33" t="n">
        <v>46844</v>
      </c>
      <c r="C48" s="13">
        <f>F47</f>
        <v/>
      </c>
      <c r="D48" s="13">
        <f>MAX(0,C48*$B11/12)</f>
        <v/>
      </c>
      <c r="E48" s="13">
        <f>MAX(0,MIN(C48,$B12-D48))</f>
        <v/>
      </c>
      <c r="F48" s="13">
        <f>MAX(0,C48-E48)</f>
        <v/>
      </c>
      <c r="G48" s="21" t="n">
        <v>2028</v>
      </c>
    </row>
    <row r="49">
      <c r="A49" s="21" t="n">
        <v>29</v>
      </c>
      <c r="B49" s="33" t="n">
        <v>46874</v>
      </c>
      <c r="C49" s="13">
        <f>F48</f>
        <v/>
      </c>
      <c r="D49" s="13">
        <f>MAX(0,C49*$B11/12)</f>
        <v/>
      </c>
      <c r="E49" s="13">
        <f>MAX(0,MIN(C49,$B12-D49))</f>
        <v/>
      </c>
      <c r="F49" s="13">
        <f>MAX(0,C49-E49)</f>
        <v/>
      </c>
      <c r="G49" s="21" t="n">
        <v>2028</v>
      </c>
    </row>
    <row r="50">
      <c r="A50" s="21" t="n">
        <v>30</v>
      </c>
      <c r="B50" s="33" t="n">
        <v>46905</v>
      </c>
      <c r="C50" s="13">
        <f>F49</f>
        <v/>
      </c>
      <c r="D50" s="13">
        <f>MAX(0,C50*$B11/12)</f>
        <v/>
      </c>
      <c r="E50" s="13">
        <f>MAX(0,MIN(C50,$B12-D50))</f>
        <v/>
      </c>
      <c r="F50" s="13">
        <f>MAX(0,C50-E50)</f>
        <v/>
      </c>
      <c r="G50" s="21" t="n">
        <v>2028</v>
      </c>
    </row>
    <row r="51">
      <c r="A51" s="21" t="n">
        <v>31</v>
      </c>
      <c r="B51" s="33" t="n">
        <v>46935</v>
      </c>
      <c r="C51" s="13">
        <f>F50</f>
        <v/>
      </c>
      <c r="D51" s="13">
        <f>MAX(0,C51*$B11/12)</f>
        <v/>
      </c>
      <c r="E51" s="13">
        <f>MAX(0,MIN(C51,$B12-D51))</f>
        <v/>
      </c>
      <c r="F51" s="13">
        <f>MAX(0,C51-E51)</f>
        <v/>
      </c>
      <c r="G51" s="21" t="n">
        <v>2028</v>
      </c>
    </row>
    <row r="52">
      <c r="A52" s="21" t="n">
        <v>32</v>
      </c>
      <c r="B52" s="33" t="n">
        <v>46966</v>
      </c>
      <c r="C52" s="13">
        <f>F51</f>
        <v/>
      </c>
      <c r="D52" s="13">
        <f>MAX(0,C52*$B11/12)</f>
        <v/>
      </c>
      <c r="E52" s="13">
        <f>MAX(0,MIN(C52,$B12-D52))</f>
        <v/>
      </c>
      <c r="F52" s="13">
        <f>MAX(0,C52-E52)</f>
        <v/>
      </c>
      <c r="G52" s="21" t="n">
        <v>2028</v>
      </c>
    </row>
    <row r="53">
      <c r="A53" s="21" t="n">
        <v>33</v>
      </c>
      <c r="B53" s="33" t="n">
        <v>46997</v>
      </c>
      <c r="C53" s="13">
        <f>F52</f>
        <v/>
      </c>
      <c r="D53" s="13">
        <f>MAX(0,C53*$B11/12)</f>
        <v/>
      </c>
      <c r="E53" s="13">
        <f>MAX(0,MIN(C53,$B12-D53))</f>
        <v/>
      </c>
      <c r="F53" s="13">
        <f>MAX(0,C53-E53)</f>
        <v/>
      </c>
      <c r="G53" s="21" t="n">
        <v>2028</v>
      </c>
    </row>
    <row r="54">
      <c r="A54" s="21" t="n">
        <v>34</v>
      </c>
      <c r="B54" s="33" t="n">
        <v>47027</v>
      </c>
      <c r="C54" s="13">
        <f>F53</f>
        <v/>
      </c>
      <c r="D54" s="13">
        <f>MAX(0,C54*$B11/12)</f>
        <v/>
      </c>
      <c r="E54" s="13">
        <f>MAX(0,MIN(C54,$B12-D54))</f>
        <v/>
      </c>
      <c r="F54" s="13">
        <f>MAX(0,C54-E54)</f>
        <v/>
      </c>
      <c r="G54" s="21" t="n">
        <v>2028</v>
      </c>
    </row>
    <row r="55">
      <c r="A55" s="21" t="n">
        <v>35</v>
      </c>
      <c r="B55" s="33" t="n">
        <v>47058</v>
      </c>
      <c r="C55" s="13">
        <f>F54</f>
        <v/>
      </c>
      <c r="D55" s="13">
        <f>MAX(0,C55*$B11/12)</f>
        <v/>
      </c>
      <c r="E55" s="13">
        <f>MAX(0,MIN(C55,$B12-D55))</f>
        <v/>
      </c>
      <c r="F55" s="13">
        <f>MAX(0,C55-E55)</f>
        <v/>
      </c>
      <c r="G55" s="21" t="n">
        <v>2028</v>
      </c>
    </row>
    <row r="56">
      <c r="A56" s="21" t="n">
        <v>36</v>
      </c>
      <c r="B56" s="33" t="n">
        <v>47088</v>
      </c>
      <c r="C56" s="13">
        <f>F55</f>
        <v/>
      </c>
      <c r="D56" s="13">
        <f>MAX(0,C56*$B11/12)</f>
        <v/>
      </c>
      <c r="E56" s="13">
        <f>MAX(0,MIN(C56,$B12-D56))</f>
        <v/>
      </c>
      <c r="F56" s="13">
        <f>MAX(0,C56-E56)</f>
        <v/>
      </c>
      <c r="G56" s="21" t="n">
        <v>2028</v>
      </c>
    </row>
    <row r="57">
      <c r="A57" s="21" t="n">
        <v>37</v>
      </c>
      <c r="B57" s="33" t="n">
        <v>47119</v>
      </c>
      <c r="C57" s="13">
        <f>F56</f>
        <v/>
      </c>
      <c r="D57" s="13">
        <f>MAX(0,C57*$B11/12)</f>
        <v/>
      </c>
      <c r="E57" s="13">
        <f>MAX(0,MIN(C57,$B12-D57))</f>
        <v/>
      </c>
      <c r="F57" s="13">
        <f>MAX(0,C57-E57)</f>
        <v/>
      </c>
      <c r="G57" s="21" t="n">
        <v>2029</v>
      </c>
    </row>
    <row r="58">
      <c r="A58" s="21" t="n">
        <v>38</v>
      </c>
      <c r="B58" s="33" t="n">
        <v>47150</v>
      </c>
      <c r="C58" s="13">
        <f>F57</f>
        <v/>
      </c>
      <c r="D58" s="13">
        <f>MAX(0,C58*$B11/12)</f>
        <v/>
      </c>
      <c r="E58" s="13">
        <f>MAX(0,MIN(C58,$B12-D58))</f>
        <v/>
      </c>
      <c r="F58" s="13">
        <f>MAX(0,C58-E58)</f>
        <v/>
      </c>
      <c r="G58" s="21" t="n">
        <v>2029</v>
      </c>
    </row>
    <row r="59">
      <c r="A59" s="21" t="n">
        <v>39</v>
      </c>
      <c r="B59" s="33" t="n">
        <v>47178</v>
      </c>
      <c r="C59" s="13">
        <f>F58</f>
        <v/>
      </c>
      <c r="D59" s="13">
        <f>MAX(0,C59*$B11/12)</f>
        <v/>
      </c>
      <c r="E59" s="13">
        <f>MAX(0,MIN(C59,$B12-D59))</f>
        <v/>
      </c>
      <c r="F59" s="13">
        <f>MAX(0,C59-E59)</f>
        <v/>
      </c>
      <c r="G59" s="21" t="n">
        <v>2029</v>
      </c>
    </row>
    <row r="60">
      <c r="A60" s="21" t="n">
        <v>40</v>
      </c>
      <c r="B60" s="33" t="n">
        <v>47209</v>
      </c>
      <c r="C60" s="13">
        <f>F59</f>
        <v/>
      </c>
      <c r="D60" s="13">
        <f>MAX(0,C60*$B11/12)</f>
        <v/>
      </c>
      <c r="E60" s="13">
        <f>MAX(0,MIN(C60,$B12-D60))</f>
        <v/>
      </c>
      <c r="F60" s="13">
        <f>MAX(0,C60-E60)</f>
        <v/>
      </c>
      <c r="G60" s="21" t="n">
        <v>2029</v>
      </c>
    </row>
    <row r="61">
      <c r="A61" s="21" t="n">
        <v>41</v>
      </c>
      <c r="B61" s="33" t="n">
        <v>47239</v>
      </c>
      <c r="C61" s="13">
        <f>F60</f>
        <v/>
      </c>
      <c r="D61" s="13">
        <f>MAX(0,C61*$B11/12)</f>
        <v/>
      </c>
      <c r="E61" s="13">
        <f>MAX(0,MIN(C61,$B12-D61))</f>
        <v/>
      </c>
      <c r="F61" s="13">
        <f>MAX(0,C61-E61)</f>
        <v/>
      </c>
      <c r="G61" s="21" t="n">
        <v>2029</v>
      </c>
    </row>
    <row r="62">
      <c r="A62" s="21" t="n">
        <v>42</v>
      </c>
      <c r="B62" s="33" t="n">
        <v>47270</v>
      </c>
      <c r="C62" s="13">
        <f>F61</f>
        <v/>
      </c>
      <c r="D62" s="13">
        <f>MAX(0,C62*$B11/12)</f>
        <v/>
      </c>
      <c r="E62" s="13">
        <f>MAX(0,MIN(C62,$B12-D62))</f>
        <v/>
      </c>
      <c r="F62" s="13">
        <f>MAX(0,C62-E62)</f>
        <v/>
      </c>
      <c r="G62" s="21" t="n">
        <v>2029</v>
      </c>
    </row>
    <row r="63">
      <c r="A63" s="21" t="n">
        <v>43</v>
      </c>
      <c r="B63" s="33" t="n">
        <v>47300</v>
      </c>
      <c r="C63" s="13">
        <f>F62</f>
        <v/>
      </c>
      <c r="D63" s="13">
        <f>MAX(0,C63*$B11/12)</f>
        <v/>
      </c>
      <c r="E63" s="13">
        <f>MAX(0,MIN(C63,$B12-D63))</f>
        <v/>
      </c>
      <c r="F63" s="13">
        <f>MAX(0,C63-E63)</f>
        <v/>
      </c>
      <c r="G63" s="21" t="n">
        <v>2029</v>
      </c>
    </row>
    <row r="64">
      <c r="A64" s="21" t="n">
        <v>44</v>
      </c>
      <c r="B64" s="33" t="n">
        <v>47331</v>
      </c>
      <c r="C64" s="13">
        <f>F63</f>
        <v/>
      </c>
      <c r="D64" s="13">
        <f>MAX(0,C64*$B11/12)</f>
        <v/>
      </c>
      <c r="E64" s="13">
        <f>MAX(0,MIN(C64,$B12-D64))</f>
        <v/>
      </c>
      <c r="F64" s="13">
        <f>MAX(0,C64-E64)</f>
        <v/>
      </c>
      <c r="G64" s="21" t="n">
        <v>2029</v>
      </c>
    </row>
    <row r="65">
      <c r="A65" s="21" t="n">
        <v>45</v>
      </c>
      <c r="B65" s="33" t="n">
        <v>47362</v>
      </c>
      <c r="C65" s="13">
        <f>F64</f>
        <v/>
      </c>
      <c r="D65" s="13">
        <f>MAX(0,C65*$B11/12)</f>
        <v/>
      </c>
      <c r="E65" s="13">
        <f>MAX(0,MIN(C65,$B12-D65))</f>
        <v/>
      </c>
      <c r="F65" s="13">
        <f>MAX(0,C65-E65)</f>
        <v/>
      </c>
      <c r="G65" s="21" t="n">
        <v>2029</v>
      </c>
    </row>
    <row r="66">
      <c r="A66" s="21" t="n">
        <v>46</v>
      </c>
      <c r="B66" s="33" t="n">
        <v>47392</v>
      </c>
      <c r="C66" s="13">
        <f>F65</f>
        <v/>
      </c>
      <c r="D66" s="13">
        <f>MAX(0,C66*$B11/12)</f>
        <v/>
      </c>
      <c r="E66" s="13">
        <f>MAX(0,MIN(C66,$B12-D66))</f>
        <v/>
      </c>
      <c r="F66" s="13">
        <f>MAX(0,C66-E66)</f>
        <v/>
      </c>
      <c r="G66" s="21" t="n">
        <v>2029</v>
      </c>
    </row>
    <row r="67">
      <c r="A67" s="21" t="n">
        <v>47</v>
      </c>
      <c r="B67" s="33" t="n">
        <v>47423</v>
      </c>
      <c r="C67" s="13">
        <f>F66</f>
        <v/>
      </c>
      <c r="D67" s="13">
        <f>MAX(0,C67*$B11/12)</f>
        <v/>
      </c>
      <c r="E67" s="13">
        <f>MAX(0,MIN(C67,$B12-D67))</f>
        <v/>
      </c>
      <c r="F67" s="13">
        <f>MAX(0,C67-E67)</f>
        <v/>
      </c>
      <c r="G67" s="21" t="n">
        <v>2029</v>
      </c>
    </row>
    <row r="68">
      <c r="A68" s="21" t="n">
        <v>48</v>
      </c>
      <c r="B68" s="33" t="n">
        <v>47453</v>
      </c>
      <c r="C68" s="13">
        <f>F67</f>
        <v/>
      </c>
      <c r="D68" s="13">
        <f>MAX(0,C68*$B11/12)</f>
        <v/>
      </c>
      <c r="E68" s="13">
        <f>MAX(0,MIN(C68,$B12-D68))</f>
        <v/>
      </c>
      <c r="F68" s="13">
        <f>MAX(0,C68-E68)</f>
        <v/>
      </c>
      <c r="G68" s="21" t="n">
        <v>2029</v>
      </c>
    </row>
    <row r="69">
      <c r="A69" s="21" t="n">
        <v>49</v>
      </c>
      <c r="B69" s="33" t="n">
        <v>47484</v>
      </c>
      <c r="C69" s="13">
        <f>F68</f>
        <v/>
      </c>
      <c r="D69" s="13">
        <f>MAX(0,C69*$B11/12)</f>
        <v/>
      </c>
      <c r="E69" s="13">
        <f>MAX(0,MIN(C69,$B12-D69))</f>
        <v/>
      </c>
      <c r="F69" s="13">
        <f>MAX(0,C69-E69)</f>
        <v/>
      </c>
      <c r="G69" s="21" t="n">
        <v>2030</v>
      </c>
    </row>
    <row r="70">
      <c r="A70" s="21" t="n">
        <v>50</v>
      </c>
      <c r="B70" s="33" t="n">
        <v>47515</v>
      </c>
      <c r="C70" s="13">
        <f>F69</f>
        <v/>
      </c>
      <c r="D70" s="13">
        <f>MAX(0,C70*$B11/12)</f>
        <v/>
      </c>
      <c r="E70" s="13">
        <f>MAX(0,MIN(C70,$B12-D70))</f>
        <v/>
      </c>
      <c r="F70" s="13">
        <f>MAX(0,C70-E70)</f>
        <v/>
      </c>
      <c r="G70" s="21" t="n">
        <v>2030</v>
      </c>
    </row>
    <row r="71">
      <c r="A71" s="21" t="n">
        <v>51</v>
      </c>
      <c r="B71" s="33" t="n">
        <v>47543</v>
      </c>
      <c r="C71" s="13">
        <f>F70</f>
        <v/>
      </c>
      <c r="D71" s="13">
        <f>MAX(0,C71*$B11/12)</f>
        <v/>
      </c>
      <c r="E71" s="13">
        <f>MAX(0,MIN(C71,$B12-D71))</f>
        <v/>
      </c>
      <c r="F71" s="13">
        <f>MAX(0,C71-E71)</f>
        <v/>
      </c>
      <c r="G71" s="21" t="n">
        <v>2030</v>
      </c>
    </row>
    <row r="72">
      <c r="A72" s="21" t="n">
        <v>52</v>
      </c>
      <c r="B72" s="33" t="n">
        <v>47574</v>
      </c>
      <c r="C72" s="13">
        <f>F71</f>
        <v/>
      </c>
      <c r="D72" s="13">
        <f>MAX(0,C72*$B11/12)</f>
        <v/>
      </c>
      <c r="E72" s="13">
        <f>MAX(0,MIN(C72,$B12-D72))</f>
        <v/>
      </c>
      <c r="F72" s="13">
        <f>MAX(0,C72-E72)</f>
        <v/>
      </c>
      <c r="G72" s="21" t="n">
        <v>2030</v>
      </c>
    </row>
    <row r="73">
      <c r="A73" s="21" t="n">
        <v>53</v>
      </c>
      <c r="B73" s="33" t="n">
        <v>47604</v>
      </c>
      <c r="C73" s="13">
        <f>F72</f>
        <v/>
      </c>
      <c r="D73" s="13">
        <f>MAX(0,C73*$B11/12)</f>
        <v/>
      </c>
      <c r="E73" s="13">
        <f>MAX(0,MIN(C73,$B12-D73))</f>
        <v/>
      </c>
      <c r="F73" s="13">
        <f>MAX(0,C73-E73)</f>
        <v/>
      </c>
      <c r="G73" s="21" t="n">
        <v>2030</v>
      </c>
    </row>
    <row r="74">
      <c r="A74" s="21" t="n">
        <v>54</v>
      </c>
      <c r="B74" s="33" t="n">
        <v>47635</v>
      </c>
      <c r="C74" s="13">
        <f>F73</f>
        <v/>
      </c>
      <c r="D74" s="13">
        <f>MAX(0,C74*$B11/12)</f>
        <v/>
      </c>
      <c r="E74" s="13">
        <f>MAX(0,MIN(C74,$B12-D74))</f>
        <v/>
      </c>
      <c r="F74" s="13">
        <f>MAX(0,C74-E74)</f>
        <v/>
      </c>
      <c r="G74" s="21" t="n">
        <v>2030</v>
      </c>
    </row>
    <row r="77">
      <c r="A77" s="2" t="inlineStr">
        <is>
          <t>ANNUAL SUMMARY</t>
        </is>
      </c>
    </row>
    <row r="78">
      <c r="A78" s="30" t="inlineStr">
        <is>
          <t>Year</t>
        </is>
      </c>
      <c r="B78" s="30" t="inlineStr">
        <is>
          <t>Opening Balance</t>
        </is>
      </c>
      <c r="C78" s="30" t="inlineStr">
        <is>
          <t>Total Interest</t>
        </is>
      </c>
      <c r="D78" s="30" t="inlineStr">
        <is>
          <t>Total Principal</t>
        </is>
      </c>
      <c r="E78" s="30" t="inlineStr">
        <is>
          <t>Closing Balance</t>
        </is>
      </c>
      <c r="F78" s="30" t="inlineStr"/>
    </row>
    <row r="79">
      <c r="A79" s="21" t="n">
        <v>2026</v>
      </c>
      <c r="B79" s="13">
        <f>C21</f>
        <v/>
      </c>
      <c r="C79" s="13">
        <f>SUM(D21:D32)</f>
        <v/>
      </c>
      <c r="D79" s="13">
        <f>SUM(E21:E32)</f>
        <v/>
      </c>
      <c r="E79" s="13">
        <f>F32</f>
        <v/>
      </c>
    </row>
    <row r="80">
      <c r="A80" s="21" t="n">
        <v>2027</v>
      </c>
      <c r="B80" s="13">
        <f>C33</f>
        <v/>
      </c>
      <c r="C80" s="13">
        <f>SUM(D33:D44)</f>
        <v/>
      </c>
      <c r="D80" s="13">
        <f>SUM(E33:E44)</f>
        <v/>
      </c>
      <c r="E80" s="13">
        <f>F44</f>
        <v/>
      </c>
    </row>
    <row r="81">
      <c r="A81" s="21" t="n">
        <v>2028</v>
      </c>
      <c r="B81" s="13">
        <f>C45</f>
        <v/>
      </c>
      <c r="C81" s="13">
        <f>SUM(D45:D56)</f>
        <v/>
      </c>
      <c r="D81" s="13">
        <f>SUM(E45:E56)</f>
        <v/>
      </c>
      <c r="E81" s="13">
        <f>F56</f>
        <v/>
      </c>
    </row>
    <row r="84">
      <c r="A84" s="1" t="inlineStr">
        <is>
          <t>Current Balance (12/31/2025):</t>
        </is>
      </c>
      <c r="B84" s="26">
        <f>B10</f>
        <v/>
      </c>
    </row>
  </sheetData>
  <mergeCells count="3">
    <mergeCell ref="A1:C1"/>
    <mergeCell ref="A77:F77"/>
    <mergeCell ref="A15:C15"/>
  </mergeCells>
  <pageMargins left="0.75" right="0.75" top="1" bottom="1" header="0.5" footer="0.5"/>
  <legacyDrawing xmlns:r="http://schemas.openxmlformats.org/officeDocument/2006/relationships" r:id="anysvml"/>
</worksheet>
</file>

<file path=xl/worksheets/sheet36.xml><?xml version="1.0" encoding="utf-8"?>
<worksheet xmlns="http://schemas.openxmlformats.org/spreadsheetml/2006/main">
  <sheetPr>
    <tabColor rgb="00808080"/>
    <outlinePr summaryBelow="1" summaryRight="1"/>
    <pageSetUpPr/>
  </sheetPr>
  <dimension ref="A1:G84"/>
  <sheetViews>
    <sheetView workbookViewId="0">
      <selection activeCell="A1" sqref="A1"/>
    </sheetView>
  </sheetViews>
  <sheetFormatPr baseColWidth="8" defaultRowHeight="15"/>
  <cols>
    <col width="14" customWidth="1" min="1" max="1"/>
    <col width="20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>
      <c r="A1" s="2" t="inlineStr">
        <is>
          <t>LOAN DETAILS</t>
        </is>
      </c>
    </row>
    <row r="2">
      <c r="A2" t="inlineStr">
        <is>
          <t>Lender:</t>
        </is>
      </c>
      <c r="B2" s="4" t="inlineStr">
        <is>
          <t>Ascentium Capital</t>
        </is>
      </c>
    </row>
    <row r="3">
      <c r="A3" t="inlineStr">
        <is>
          <t>Loan ID:</t>
        </is>
      </c>
      <c r="B3" s="4" t="inlineStr">
        <is>
          <t>01-2987-000-000-00</t>
        </is>
      </c>
    </row>
    <row r="4">
      <c r="A4" t="inlineStr">
        <is>
          <t>Loan Number:</t>
        </is>
      </c>
      <c r="B4" s="4" t="inlineStr">
        <is>
          <t>2844489</t>
        </is>
      </c>
    </row>
    <row r="5">
      <c r="A5" t="inlineStr">
        <is>
          <t>Description:</t>
        </is>
      </c>
      <c r="B5" s="4" t="inlineStr">
        <is>
          <t>5 Trailers - Texas 489</t>
        </is>
      </c>
    </row>
    <row r="6">
      <c r="A6" t="inlineStr">
        <is>
          <t>Collateral:</t>
        </is>
      </c>
      <c r="B6" s="4" t="inlineStr">
        <is>
          <t>Equipment - Trailers</t>
        </is>
      </c>
    </row>
    <row r="7">
      <c r="A7" t="inlineStr">
        <is>
          <t>Origination:</t>
        </is>
      </c>
      <c r="B7" s="4" t="inlineStr">
        <is>
          <t>07/01/2025</t>
        </is>
      </c>
    </row>
    <row r="8">
      <c r="A8" t="inlineStr">
        <is>
          <t>Maturity:</t>
        </is>
      </c>
      <c r="B8" s="4" t="inlineStr">
        <is>
          <t>06/15/2030</t>
        </is>
      </c>
    </row>
    <row r="9">
      <c r="A9" t="inlineStr">
        <is>
          <t>Original Balance:</t>
        </is>
      </c>
      <c r="B9" s="26" t="n">
        <v>272500</v>
      </c>
    </row>
    <row r="10">
      <c r="A10" t="inlineStr">
        <is>
          <t>Current Balance:</t>
        </is>
      </c>
      <c r="B10" s="26" t="n">
        <v>228142</v>
      </c>
    </row>
    <row r="11">
      <c r="A11" t="inlineStr">
        <is>
          <t>Annual Rate:</t>
        </is>
      </c>
      <c r="B11" s="6" t="n">
        <v>0.0837</v>
      </c>
    </row>
    <row r="12">
      <c r="A12" t="inlineStr">
        <is>
          <t>Monthly Payment:</t>
        </is>
      </c>
      <c r="B12" s="26" t="n">
        <v>5085</v>
      </c>
    </row>
    <row r="13">
      <c r="A13" t="inlineStr">
        <is>
          <t>Loan Type:</t>
        </is>
      </c>
      <c r="B13" s="4" t="inlineStr">
        <is>
          <t>AMORTIZING</t>
        </is>
      </c>
    </row>
    <row r="15">
      <c r="A15" s="20" t="inlineStr">
        <is>
          <t>AI ANALYSIS</t>
        </is>
      </c>
    </row>
    <row r="16">
      <c r="A16" t="inlineStr">
        <is>
          <t>Classification:</t>
        </is>
      </c>
      <c r="B16" s="9" t="inlineStr">
        <is>
          <t>Standard equipment financing loan with fixed monthly payments.</t>
        </is>
      </c>
    </row>
    <row r="17">
      <c r="A17" t="inlineStr">
        <is>
          <t>Amort. Notes:</t>
        </is>
      </c>
      <c r="B17" s="9" t="inlineStr">
        <is>
          <t>Self-amortizing over term. Rate: 8.37% APR.</t>
        </is>
      </c>
    </row>
    <row r="18">
      <c r="A18" t="inlineStr">
        <is>
          <t>Source Doc:</t>
        </is>
      </c>
      <c r="B18" s="9" t="inlineStr">
        <is>
          <t>Loan 49 - data/loans.md</t>
        </is>
      </c>
    </row>
    <row r="20">
      <c r="A20" s="10" t="inlineStr">
        <is>
          <t>Month #</t>
        </is>
      </c>
      <c r="B20" s="10" t="inlineStr">
        <is>
          <t>Date</t>
        </is>
      </c>
      <c r="C20" s="10" t="inlineStr">
        <is>
          <t>Opening Balance</t>
        </is>
      </c>
      <c r="D20" s="10" t="inlineStr">
        <is>
          <t>Interest</t>
        </is>
      </c>
      <c r="E20" s="10" t="inlineStr">
        <is>
          <t>Principal</t>
        </is>
      </c>
      <c r="F20" s="10" t="inlineStr">
        <is>
          <t>Closing Balance</t>
        </is>
      </c>
      <c r="G20" s="10" t="inlineStr">
        <is>
          <t>Year</t>
        </is>
      </c>
    </row>
    <row r="21">
      <c r="A21" s="21" t="n">
        <v>1</v>
      </c>
      <c r="B21" s="33" t="n">
        <v>46023</v>
      </c>
      <c r="C21" s="13">
        <f>B10</f>
        <v/>
      </c>
      <c r="D21" s="13">
        <f>MAX(0,C21*$B11/12)</f>
        <v/>
      </c>
      <c r="E21" s="13">
        <f>MAX(0,MIN(C21,$B12-D21))</f>
        <v/>
      </c>
      <c r="F21" s="13">
        <f>MAX(0,C21-E21)</f>
        <v/>
      </c>
      <c r="G21" s="21" t="n">
        <v>2026</v>
      </c>
    </row>
    <row r="22">
      <c r="A22" s="21" t="n">
        <v>2</v>
      </c>
      <c r="B22" s="33" t="n">
        <v>46054</v>
      </c>
      <c r="C22" s="13">
        <f>F21</f>
        <v/>
      </c>
      <c r="D22" s="13">
        <f>MAX(0,C22*$B11/12)</f>
        <v/>
      </c>
      <c r="E22" s="13">
        <f>MAX(0,MIN(C22,$B12-D22))</f>
        <v/>
      </c>
      <c r="F22" s="13">
        <f>MAX(0,C22-E22)</f>
        <v/>
      </c>
      <c r="G22" s="21" t="n">
        <v>2026</v>
      </c>
    </row>
    <row r="23">
      <c r="A23" s="21" t="n">
        <v>3</v>
      </c>
      <c r="B23" s="33" t="n">
        <v>46082</v>
      </c>
      <c r="C23" s="13">
        <f>F22</f>
        <v/>
      </c>
      <c r="D23" s="13">
        <f>MAX(0,C23*$B11/12)</f>
        <v/>
      </c>
      <c r="E23" s="13">
        <f>MAX(0,MIN(C23,$B12-D23))</f>
        <v/>
      </c>
      <c r="F23" s="13">
        <f>MAX(0,C23-E23)</f>
        <v/>
      </c>
      <c r="G23" s="21" t="n">
        <v>2026</v>
      </c>
    </row>
    <row r="24">
      <c r="A24" s="21" t="n">
        <v>4</v>
      </c>
      <c r="B24" s="33" t="n">
        <v>46113</v>
      </c>
      <c r="C24" s="13">
        <f>F23</f>
        <v/>
      </c>
      <c r="D24" s="13">
        <f>MAX(0,C24*$B11/12)</f>
        <v/>
      </c>
      <c r="E24" s="13">
        <f>MAX(0,MIN(C24,$B12-D24))</f>
        <v/>
      </c>
      <c r="F24" s="13">
        <f>MAX(0,C24-E24)</f>
        <v/>
      </c>
      <c r="G24" s="21" t="n">
        <v>2026</v>
      </c>
    </row>
    <row r="25">
      <c r="A25" s="21" t="n">
        <v>5</v>
      </c>
      <c r="B25" s="33" t="n">
        <v>46143</v>
      </c>
      <c r="C25" s="13">
        <f>F24</f>
        <v/>
      </c>
      <c r="D25" s="13">
        <f>MAX(0,C25*$B11/12)</f>
        <v/>
      </c>
      <c r="E25" s="13">
        <f>MAX(0,MIN(C25,$B12-D25))</f>
        <v/>
      </c>
      <c r="F25" s="13">
        <f>MAX(0,C25-E25)</f>
        <v/>
      </c>
      <c r="G25" s="21" t="n">
        <v>2026</v>
      </c>
    </row>
    <row r="26">
      <c r="A26" s="21" t="n">
        <v>6</v>
      </c>
      <c r="B26" s="33" t="n">
        <v>46174</v>
      </c>
      <c r="C26" s="13">
        <f>F25</f>
        <v/>
      </c>
      <c r="D26" s="13">
        <f>MAX(0,C26*$B11/12)</f>
        <v/>
      </c>
      <c r="E26" s="13">
        <f>MAX(0,MIN(C26,$B12-D26))</f>
        <v/>
      </c>
      <c r="F26" s="13">
        <f>MAX(0,C26-E26)</f>
        <v/>
      </c>
      <c r="G26" s="21" t="n">
        <v>2026</v>
      </c>
    </row>
    <row r="27">
      <c r="A27" s="21" t="n">
        <v>7</v>
      </c>
      <c r="B27" s="33" t="n">
        <v>46204</v>
      </c>
      <c r="C27" s="13">
        <f>F26</f>
        <v/>
      </c>
      <c r="D27" s="13">
        <f>MAX(0,C27*$B11/12)</f>
        <v/>
      </c>
      <c r="E27" s="13">
        <f>MAX(0,MIN(C27,$B12-D27))</f>
        <v/>
      </c>
      <c r="F27" s="13">
        <f>MAX(0,C27-E27)</f>
        <v/>
      </c>
      <c r="G27" s="21" t="n">
        <v>2026</v>
      </c>
    </row>
    <row r="28">
      <c r="A28" s="21" t="n">
        <v>8</v>
      </c>
      <c r="B28" s="33" t="n">
        <v>46235</v>
      </c>
      <c r="C28" s="13">
        <f>F27</f>
        <v/>
      </c>
      <c r="D28" s="13">
        <f>MAX(0,C28*$B11/12)</f>
        <v/>
      </c>
      <c r="E28" s="13">
        <f>MAX(0,MIN(C28,$B12-D28))</f>
        <v/>
      </c>
      <c r="F28" s="13">
        <f>MAX(0,C28-E28)</f>
        <v/>
      </c>
      <c r="G28" s="21" t="n">
        <v>2026</v>
      </c>
    </row>
    <row r="29">
      <c r="A29" s="21" t="n">
        <v>9</v>
      </c>
      <c r="B29" s="33" t="n">
        <v>46266</v>
      </c>
      <c r="C29" s="13">
        <f>F28</f>
        <v/>
      </c>
      <c r="D29" s="13">
        <f>MAX(0,C29*$B11/12)</f>
        <v/>
      </c>
      <c r="E29" s="13">
        <f>MAX(0,MIN(C29,$B12-D29))</f>
        <v/>
      </c>
      <c r="F29" s="13">
        <f>MAX(0,C29-E29)</f>
        <v/>
      </c>
      <c r="G29" s="21" t="n">
        <v>2026</v>
      </c>
    </row>
    <row r="30">
      <c r="A30" s="21" t="n">
        <v>10</v>
      </c>
      <c r="B30" s="33" t="n">
        <v>46296</v>
      </c>
      <c r="C30" s="13">
        <f>F29</f>
        <v/>
      </c>
      <c r="D30" s="13">
        <f>MAX(0,C30*$B11/12)</f>
        <v/>
      </c>
      <c r="E30" s="13">
        <f>MAX(0,MIN(C30,$B12-D30))</f>
        <v/>
      </c>
      <c r="F30" s="13">
        <f>MAX(0,C30-E30)</f>
        <v/>
      </c>
      <c r="G30" s="21" t="n">
        <v>2026</v>
      </c>
    </row>
    <row r="31">
      <c r="A31" s="21" t="n">
        <v>11</v>
      </c>
      <c r="B31" s="33" t="n">
        <v>46327</v>
      </c>
      <c r="C31" s="13">
        <f>F30</f>
        <v/>
      </c>
      <c r="D31" s="13">
        <f>MAX(0,C31*$B11/12)</f>
        <v/>
      </c>
      <c r="E31" s="13">
        <f>MAX(0,MIN(C31,$B12-D31))</f>
        <v/>
      </c>
      <c r="F31" s="13">
        <f>MAX(0,C31-E31)</f>
        <v/>
      </c>
      <c r="G31" s="21" t="n">
        <v>2026</v>
      </c>
    </row>
    <row r="32">
      <c r="A32" s="21" t="n">
        <v>12</v>
      </c>
      <c r="B32" s="33" t="n">
        <v>46357</v>
      </c>
      <c r="C32" s="13">
        <f>F31</f>
        <v/>
      </c>
      <c r="D32" s="13">
        <f>MAX(0,C32*$B11/12)</f>
        <v/>
      </c>
      <c r="E32" s="13">
        <f>MAX(0,MIN(C32,$B12-D32))</f>
        <v/>
      </c>
      <c r="F32" s="13">
        <f>MAX(0,C32-E32)</f>
        <v/>
      </c>
      <c r="G32" s="21" t="n">
        <v>2026</v>
      </c>
    </row>
    <row r="33">
      <c r="A33" s="21" t="n">
        <v>13</v>
      </c>
      <c r="B33" s="33" t="n">
        <v>46388</v>
      </c>
      <c r="C33" s="13">
        <f>F32</f>
        <v/>
      </c>
      <c r="D33" s="13">
        <f>MAX(0,C33*$B11/12)</f>
        <v/>
      </c>
      <c r="E33" s="13">
        <f>MAX(0,MIN(C33,$B12-D33))</f>
        <v/>
      </c>
      <c r="F33" s="13">
        <f>MAX(0,C33-E33)</f>
        <v/>
      </c>
      <c r="G33" s="21" t="n">
        <v>2027</v>
      </c>
    </row>
    <row r="34">
      <c r="A34" s="21" t="n">
        <v>14</v>
      </c>
      <c r="B34" s="33" t="n">
        <v>46419</v>
      </c>
      <c r="C34" s="13">
        <f>F33</f>
        <v/>
      </c>
      <c r="D34" s="13">
        <f>MAX(0,C34*$B11/12)</f>
        <v/>
      </c>
      <c r="E34" s="13">
        <f>MAX(0,MIN(C34,$B12-D34))</f>
        <v/>
      </c>
      <c r="F34" s="13">
        <f>MAX(0,C34-E34)</f>
        <v/>
      </c>
      <c r="G34" s="21" t="n">
        <v>2027</v>
      </c>
    </row>
    <row r="35">
      <c r="A35" s="21" t="n">
        <v>15</v>
      </c>
      <c r="B35" s="33" t="n">
        <v>46447</v>
      </c>
      <c r="C35" s="13">
        <f>F34</f>
        <v/>
      </c>
      <c r="D35" s="13">
        <f>MAX(0,C35*$B11/12)</f>
        <v/>
      </c>
      <c r="E35" s="13">
        <f>MAX(0,MIN(C35,$B12-D35))</f>
        <v/>
      </c>
      <c r="F35" s="13">
        <f>MAX(0,C35-E35)</f>
        <v/>
      </c>
      <c r="G35" s="21" t="n">
        <v>2027</v>
      </c>
    </row>
    <row r="36">
      <c r="A36" s="21" t="n">
        <v>16</v>
      </c>
      <c r="B36" s="33" t="n">
        <v>46478</v>
      </c>
      <c r="C36" s="13">
        <f>F35</f>
        <v/>
      </c>
      <c r="D36" s="13">
        <f>MAX(0,C36*$B11/12)</f>
        <v/>
      </c>
      <c r="E36" s="13">
        <f>MAX(0,MIN(C36,$B12-D36))</f>
        <v/>
      </c>
      <c r="F36" s="13">
        <f>MAX(0,C36-E36)</f>
        <v/>
      </c>
      <c r="G36" s="21" t="n">
        <v>2027</v>
      </c>
    </row>
    <row r="37">
      <c r="A37" s="21" t="n">
        <v>17</v>
      </c>
      <c r="B37" s="33" t="n">
        <v>46508</v>
      </c>
      <c r="C37" s="13">
        <f>F36</f>
        <v/>
      </c>
      <c r="D37" s="13">
        <f>MAX(0,C37*$B11/12)</f>
        <v/>
      </c>
      <c r="E37" s="13">
        <f>MAX(0,MIN(C37,$B12-D37))</f>
        <v/>
      </c>
      <c r="F37" s="13">
        <f>MAX(0,C37-E37)</f>
        <v/>
      </c>
      <c r="G37" s="21" t="n">
        <v>2027</v>
      </c>
    </row>
    <row r="38">
      <c r="A38" s="21" t="n">
        <v>18</v>
      </c>
      <c r="B38" s="33" t="n">
        <v>46539</v>
      </c>
      <c r="C38" s="13">
        <f>F37</f>
        <v/>
      </c>
      <c r="D38" s="13">
        <f>MAX(0,C38*$B11/12)</f>
        <v/>
      </c>
      <c r="E38" s="13">
        <f>MAX(0,MIN(C38,$B12-D38))</f>
        <v/>
      </c>
      <c r="F38" s="13">
        <f>MAX(0,C38-E38)</f>
        <v/>
      </c>
      <c r="G38" s="21" t="n">
        <v>2027</v>
      </c>
    </row>
    <row r="39">
      <c r="A39" s="21" t="n">
        <v>19</v>
      </c>
      <c r="B39" s="33" t="n">
        <v>46569</v>
      </c>
      <c r="C39" s="13">
        <f>F38</f>
        <v/>
      </c>
      <c r="D39" s="13">
        <f>MAX(0,C39*$B11/12)</f>
        <v/>
      </c>
      <c r="E39" s="13">
        <f>MAX(0,MIN(C39,$B12-D39))</f>
        <v/>
      </c>
      <c r="F39" s="13">
        <f>MAX(0,C39-E39)</f>
        <v/>
      </c>
      <c r="G39" s="21" t="n">
        <v>2027</v>
      </c>
    </row>
    <row r="40">
      <c r="A40" s="21" t="n">
        <v>20</v>
      </c>
      <c r="B40" s="33" t="n">
        <v>46600</v>
      </c>
      <c r="C40" s="13">
        <f>F39</f>
        <v/>
      </c>
      <c r="D40" s="13">
        <f>MAX(0,C40*$B11/12)</f>
        <v/>
      </c>
      <c r="E40" s="13">
        <f>MAX(0,MIN(C40,$B12-D40))</f>
        <v/>
      </c>
      <c r="F40" s="13">
        <f>MAX(0,C40-E40)</f>
        <v/>
      </c>
      <c r="G40" s="21" t="n">
        <v>2027</v>
      </c>
    </row>
    <row r="41">
      <c r="A41" s="21" t="n">
        <v>21</v>
      </c>
      <c r="B41" s="33" t="n">
        <v>46631</v>
      </c>
      <c r="C41" s="13">
        <f>F40</f>
        <v/>
      </c>
      <c r="D41" s="13">
        <f>MAX(0,C41*$B11/12)</f>
        <v/>
      </c>
      <c r="E41" s="13">
        <f>MAX(0,MIN(C41,$B12-D41))</f>
        <v/>
      </c>
      <c r="F41" s="13">
        <f>MAX(0,C41-E41)</f>
        <v/>
      </c>
      <c r="G41" s="21" t="n">
        <v>2027</v>
      </c>
    </row>
    <row r="42">
      <c r="A42" s="21" t="n">
        <v>22</v>
      </c>
      <c r="B42" s="33" t="n">
        <v>46661</v>
      </c>
      <c r="C42" s="13">
        <f>F41</f>
        <v/>
      </c>
      <c r="D42" s="13">
        <f>MAX(0,C42*$B11/12)</f>
        <v/>
      </c>
      <c r="E42" s="13">
        <f>MAX(0,MIN(C42,$B12-D42))</f>
        <v/>
      </c>
      <c r="F42" s="13">
        <f>MAX(0,C42-E42)</f>
        <v/>
      </c>
      <c r="G42" s="21" t="n">
        <v>2027</v>
      </c>
    </row>
    <row r="43">
      <c r="A43" s="21" t="n">
        <v>23</v>
      </c>
      <c r="B43" s="33" t="n">
        <v>46692</v>
      </c>
      <c r="C43" s="13">
        <f>F42</f>
        <v/>
      </c>
      <c r="D43" s="13">
        <f>MAX(0,C43*$B11/12)</f>
        <v/>
      </c>
      <c r="E43" s="13">
        <f>MAX(0,MIN(C43,$B12-D43))</f>
        <v/>
      </c>
      <c r="F43" s="13">
        <f>MAX(0,C43-E43)</f>
        <v/>
      </c>
      <c r="G43" s="21" t="n">
        <v>2027</v>
      </c>
    </row>
    <row r="44">
      <c r="A44" s="21" t="n">
        <v>24</v>
      </c>
      <c r="B44" s="33" t="n">
        <v>46722</v>
      </c>
      <c r="C44" s="13">
        <f>F43</f>
        <v/>
      </c>
      <c r="D44" s="13">
        <f>MAX(0,C44*$B11/12)</f>
        <v/>
      </c>
      <c r="E44" s="13">
        <f>MAX(0,MIN(C44,$B12-D44))</f>
        <v/>
      </c>
      <c r="F44" s="13">
        <f>MAX(0,C44-E44)</f>
        <v/>
      </c>
      <c r="G44" s="21" t="n">
        <v>2027</v>
      </c>
    </row>
    <row r="45">
      <c r="A45" s="21" t="n">
        <v>25</v>
      </c>
      <c r="B45" s="33" t="n">
        <v>46753</v>
      </c>
      <c r="C45" s="13">
        <f>F44</f>
        <v/>
      </c>
      <c r="D45" s="13">
        <f>MAX(0,C45*$B11/12)</f>
        <v/>
      </c>
      <c r="E45" s="13">
        <f>MAX(0,MIN(C45,$B12-D45))</f>
        <v/>
      </c>
      <c r="F45" s="13">
        <f>MAX(0,C45-E45)</f>
        <v/>
      </c>
      <c r="G45" s="21" t="n">
        <v>2028</v>
      </c>
    </row>
    <row r="46">
      <c r="A46" s="21" t="n">
        <v>26</v>
      </c>
      <c r="B46" s="33" t="n">
        <v>46784</v>
      </c>
      <c r="C46" s="13">
        <f>F45</f>
        <v/>
      </c>
      <c r="D46" s="13">
        <f>MAX(0,C46*$B11/12)</f>
        <v/>
      </c>
      <c r="E46" s="13">
        <f>MAX(0,MIN(C46,$B12-D46))</f>
        <v/>
      </c>
      <c r="F46" s="13">
        <f>MAX(0,C46-E46)</f>
        <v/>
      </c>
      <c r="G46" s="21" t="n">
        <v>2028</v>
      </c>
    </row>
    <row r="47">
      <c r="A47" s="21" t="n">
        <v>27</v>
      </c>
      <c r="B47" s="33" t="n">
        <v>46813</v>
      </c>
      <c r="C47" s="13">
        <f>F46</f>
        <v/>
      </c>
      <c r="D47" s="13">
        <f>MAX(0,C47*$B11/12)</f>
        <v/>
      </c>
      <c r="E47" s="13">
        <f>MAX(0,MIN(C47,$B12-D47))</f>
        <v/>
      </c>
      <c r="F47" s="13">
        <f>MAX(0,C47-E47)</f>
        <v/>
      </c>
      <c r="G47" s="21" t="n">
        <v>2028</v>
      </c>
    </row>
    <row r="48">
      <c r="A48" s="21" t="n">
        <v>28</v>
      </c>
      <c r="B48" s="33" t="n">
        <v>46844</v>
      </c>
      <c r="C48" s="13">
        <f>F47</f>
        <v/>
      </c>
      <c r="D48" s="13">
        <f>MAX(0,C48*$B11/12)</f>
        <v/>
      </c>
      <c r="E48" s="13">
        <f>MAX(0,MIN(C48,$B12-D48))</f>
        <v/>
      </c>
      <c r="F48" s="13">
        <f>MAX(0,C48-E48)</f>
        <v/>
      </c>
      <c r="G48" s="21" t="n">
        <v>2028</v>
      </c>
    </row>
    <row r="49">
      <c r="A49" s="21" t="n">
        <v>29</v>
      </c>
      <c r="B49" s="33" t="n">
        <v>46874</v>
      </c>
      <c r="C49" s="13">
        <f>F48</f>
        <v/>
      </c>
      <c r="D49" s="13">
        <f>MAX(0,C49*$B11/12)</f>
        <v/>
      </c>
      <c r="E49" s="13">
        <f>MAX(0,MIN(C49,$B12-D49))</f>
        <v/>
      </c>
      <c r="F49" s="13">
        <f>MAX(0,C49-E49)</f>
        <v/>
      </c>
      <c r="G49" s="21" t="n">
        <v>2028</v>
      </c>
    </row>
    <row r="50">
      <c r="A50" s="21" t="n">
        <v>30</v>
      </c>
      <c r="B50" s="33" t="n">
        <v>46905</v>
      </c>
      <c r="C50" s="13">
        <f>F49</f>
        <v/>
      </c>
      <c r="D50" s="13">
        <f>MAX(0,C50*$B11/12)</f>
        <v/>
      </c>
      <c r="E50" s="13">
        <f>MAX(0,MIN(C50,$B12-D50))</f>
        <v/>
      </c>
      <c r="F50" s="13">
        <f>MAX(0,C50-E50)</f>
        <v/>
      </c>
      <c r="G50" s="21" t="n">
        <v>2028</v>
      </c>
    </row>
    <row r="51">
      <c r="A51" s="21" t="n">
        <v>31</v>
      </c>
      <c r="B51" s="33" t="n">
        <v>46935</v>
      </c>
      <c r="C51" s="13">
        <f>F50</f>
        <v/>
      </c>
      <c r="D51" s="13">
        <f>MAX(0,C51*$B11/12)</f>
        <v/>
      </c>
      <c r="E51" s="13">
        <f>MAX(0,MIN(C51,$B12-D51))</f>
        <v/>
      </c>
      <c r="F51" s="13">
        <f>MAX(0,C51-E51)</f>
        <v/>
      </c>
      <c r="G51" s="21" t="n">
        <v>2028</v>
      </c>
    </row>
    <row r="52">
      <c r="A52" s="21" t="n">
        <v>32</v>
      </c>
      <c r="B52" s="33" t="n">
        <v>46966</v>
      </c>
      <c r="C52" s="13">
        <f>F51</f>
        <v/>
      </c>
      <c r="D52" s="13">
        <f>MAX(0,C52*$B11/12)</f>
        <v/>
      </c>
      <c r="E52" s="13">
        <f>MAX(0,MIN(C52,$B12-D52))</f>
        <v/>
      </c>
      <c r="F52" s="13">
        <f>MAX(0,C52-E52)</f>
        <v/>
      </c>
      <c r="G52" s="21" t="n">
        <v>2028</v>
      </c>
    </row>
    <row r="53">
      <c r="A53" s="21" t="n">
        <v>33</v>
      </c>
      <c r="B53" s="33" t="n">
        <v>46997</v>
      </c>
      <c r="C53" s="13">
        <f>F52</f>
        <v/>
      </c>
      <c r="D53" s="13">
        <f>MAX(0,C53*$B11/12)</f>
        <v/>
      </c>
      <c r="E53" s="13">
        <f>MAX(0,MIN(C53,$B12-D53))</f>
        <v/>
      </c>
      <c r="F53" s="13">
        <f>MAX(0,C53-E53)</f>
        <v/>
      </c>
      <c r="G53" s="21" t="n">
        <v>2028</v>
      </c>
    </row>
    <row r="54">
      <c r="A54" s="21" t="n">
        <v>34</v>
      </c>
      <c r="B54" s="33" t="n">
        <v>47027</v>
      </c>
      <c r="C54" s="13">
        <f>F53</f>
        <v/>
      </c>
      <c r="D54" s="13">
        <f>MAX(0,C54*$B11/12)</f>
        <v/>
      </c>
      <c r="E54" s="13">
        <f>MAX(0,MIN(C54,$B12-D54))</f>
        <v/>
      </c>
      <c r="F54" s="13">
        <f>MAX(0,C54-E54)</f>
        <v/>
      </c>
      <c r="G54" s="21" t="n">
        <v>2028</v>
      </c>
    </row>
    <row r="55">
      <c r="A55" s="21" t="n">
        <v>35</v>
      </c>
      <c r="B55" s="33" t="n">
        <v>47058</v>
      </c>
      <c r="C55" s="13">
        <f>F54</f>
        <v/>
      </c>
      <c r="D55" s="13">
        <f>MAX(0,C55*$B11/12)</f>
        <v/>
      </c>
      <c r="E55" s="13">
        <f>MAX(0,MIN(C55,$B12-D55))</f>
        <v/>
      </c>
      <c r="F55" s="13">
        <f>MAX(0,C55-E55)</f>
        <v/>
      </c>
      <c r="G55" s="21" t="n">
        <v>2028</v>
      </c>
    </row>
    <row r="56">
      <c r="A56" s="21" t="n">
        <v>36</v>
      </c>
      <c r="B56" s="33" t="n">
        <v>47088</v>
      </c>
      <c r="C56" s="13">
        <f>F55</f>
        <v/>
      </c>
      <c r="D56" s="13">
        <f>MAX(0,C56*$B11/12)</f>
        <v/>
      </c>
      <c r="E56" s="13">
        <f>MAX(0,MIN(C56,$B12-D56))</f>
        <v/>
      </c>
      <c r="F56" s="13">
        <f>MAX(0,C56-E56)</f>
        <v/>
      </c>
      <c r="G56" s="21" t="n">
        <v>2028</v>
      </c>
    </row>
    <row r="57">
      <c r="A57" s="21" t="n">
        <v>37</v>
      </c>
      <c r="B57" s="33" t="n">
        <v>47119</v>
      </c>
      <c r="C57" s="13">
        <f>F56</f>
        <v/>
      </c>
      <c r="D57" s="13">
        <f>MAX(0,C57*$B11/12)</f>
        <v/>
      </c>
      <c r="E57" s="13">
        <f>MAX(0,MIN(C57,$B12-D57))</f>
        <v/>
      </c>
      <c r="F57" s="13">
        <f>MAX(0,C57-E57)</f>
        <v/>
      </c>
      <c r="G57" s="21" t="n">
        <v>2029</v>
      </c>
    </row>
    <row r="58">
      <c r="A58" s="21" t="n">
        <v>38</v>
      </c>
      <c r="B58" s="33" t="n">
        <v>47150</v>
      </c>
      <c r="C58" s="13">
        <f>F57</f>
        <v/>
      </c>
      <c r="D58" s="13">
        <f>MAX(0,C58*$B11/12)</f>
        <v/>
      </c>
      <c r="E58" s="13">
        <f>MAX(0,MIN(C58,$B12-D58))</f>
        <v/>
      </c>
      <c r="F58" s="13">
        <f>MAX(0,C58-E58)</f>
        <v/>
      </c>
      <c r="G58" s="21" t="n">
        <v>2029</v>
      </c>
    </row>
    <row r="59">
      <c r="A59" s="21" t="n">
        <v>39</v>
      </c>
      <c r="B59" s="33" t="n">
        <v>47178</v>
      </c>
      <c r="C59" s="13">
        <f>F58</f>
        <v/>
      </c>
      <c r="D59" s="13">
        <f>MAX(0,C59*$B11/12)</f>
        <v/>
      </c>
      <c r="E59" s="13">
        <f>MAX(0,MIN(C59,$B12-D59))</f>
        <v/>
      </c>
      <c r="F59" s="13">
        <f>MAX(0,C59-E59)</f>
        <v/>
      </c>
      <c r="G59" s="21" t="n">
        <v>2029</v>
      </c>
    </row>
    <row r="60">
      <c r="A60" s="21" t="n">
        <v>40</v>
      </c>
      <c r="B60" s="33" t="n">
        <v>47209</v>
      </c>
      <c r="C60" s="13">
        <f>F59</f>
        <v/>
      </c>
      <c r="D60" s="13">
        <f>MAX(0,C60*$B11/12)</f>
        <v/>
      </c>
      <c r="E60" s="13">
        <f>MAX(0,MIN(C60,$B12-D60))</f>
        <v/>
      </c>
      <c r="F60" s="13">
        <f>MAX(0,C60-E60)</f>
        <v/>
      </c>
      <c r="G60" s="21" t="n">
        <v>2029</v>
      </c>
    </row>
    <row r="61">
      <c r="A61" s="21" t="n">
        <v>41</v>
      </c>
      <c r="B61" s="33" t="n">
        <v>47239</v>
      </c>
      <c r="C61" s="13">
        <f>F60</f>
        <v/>
      </c>
      <c r="D61" s="13">
        <f>MAX(0,C61*$B11/12)</f>
        <v/>
      </c>
      <c r="E61" s="13">
        <f>MAX(0,MIN(C61,$B12-D61))</f>
        <v/>
      </c>
      <c r="F61" s="13">
        <f>MAX(0,C61-E61)</f>
        <v/>
      </c>
      <c r="G61" s="21" t="n">
        <v>2029</v>
      </c>
    </row>
    <row r="62">
      <c r="A62" s="21" t="n">
        <v>42</v>
      </c>
      <c r="B62" s="33" t="n">
        <v>47270</v>
      </c>
      <c r="C62" s="13">
        <f>F61</f>
        <v/>
      </c>
      <c r="D62" s="13">
        <f>MAX(0,C62*$B11/12)</f>
        <v/>
      </c>
      <c r="E62" s="13">
        <f>MAX(0,MIN(C62,$B12-D62))</f>
        <v/>
      </c>
      <c r="F62" s="13">
        <f>MAX(0,C62-E62)</f>
        <v/>
      </c>
      <c r="G62" s="21" t="n">
        <v>2029</v>
      </c>
    </row>
    <row r="63">
      <c r="A63" s="21" t="n">
        <v>43</v>
      </c>
      <c r="B63" s="33" t="n">
        <v>47300</v>
      </c>
      <c r="C63" s="13">
        <f>F62</f>
        <v/>
      </c>
      <c r="D63" s="13">
        <f>MAX(0,C63*$B11/12)</f>
        <v/>
      </c>
      <c r="E63" s="13">
        <f>MAX(0,MIN(C63,$B12-D63))</f>
        <v/>
      </c>
      <c r="F63" s="13">
        <f>MAX(0,C63-E63)</f>
        <v/>
      </c>
      <c r="G63" s="21" t="n">
        <v>2029</v>
      </c>
    </row>
    <row r="64">
      <c r="A64" s="21" t="n">
        <v>44</v>
      </c>
      <c r="B64" s="33" t="n">
        <v>47331</v>
      </c>
      <c r="C64" s="13">
        <f>F63</f>
        <v/>
      </c>
      <c r="D64" s="13">
        <f>MAX(0,C64*$B11/12)</f>
        <v/>
      </c>
      <c r="E64" s="13">
        <f>MAX(0,MIN(C64,$B12-D64))</f>
        <v/>
      </c>
      <c r="F64" s="13">
        <f>MAX(0,C64-E64)</f>
        <v/>
      </c>
      <c r="G64" s="21" t="n">
        <v>2029</v>
      </c>
    </row>
    <row r="65">
      <c r="A65" s="21" t="n">
        <v>45</v>
      </c>
      <c r="B65" s="33" t="n">
        <v>47362</v>
      </c>
      <c r="C65" s="13">
        <f>F64</f>
        <v/>
      </c>
      <c r="D65" s="13">
        <f>MAX(0,C65*$B11/12)</f>
        <v/>
      </c>
      <c r="E65" s="13">
        <f>MAX(0,MIN(C65,$B12-D65))</f>
        <v/>
      </c>
      <c r="F65" s="13">
        <f>MAX(0,C65-E65)</f>
        <v/>
      </c>
      <c r="G65" s="21" t="n">
        <v>2029</v>
      </c>
    </row>
    <row r="66">
      <c r="A66" s="21" t="n">
        <v>46</v>
      </c>
      <c r="B66" s="33" t="n">
        <v>47392</v>
      </c>
      <c r="C66" s="13">
        <f>F65</f>
        <v/>
      </c>
      <c r="D66" s="13">
        <f>MAX(0,C66*$B11/12)</f>
        <v/>
      </c>
      <c r="E66" s="13">
        <f>MAX(0,MIN(C66,$B12-D66))</f>
        <v/>
      </c>
      <c r="F66" s="13">
        <f>MAX(0,C66-E66)</f>
        <v/>
      </c>
      <c r="G66" s="21" t="n">
        <v>2029</v>
      </c>
    </row>
    <row r="67">
      <c r="A67" s="21" t="n">
        <v>47</v>
      </c>
      <c r="B67" s="33" t="n">
        <v>47423</v>
      </c>
      <c r="C67" s="13">
        <f>F66</f>
        <v/>
      </c>
      <c r="D67" s="13">
        <f>MAX(0,C67*$B11/12)</f>
        <v/>
      </c>
      <c r="E67" s="13">
        <f>MAX(0,MIN(C67,$B12-D67))</f>
        <v/>
      </c>
      <c r="F67" s="13">
        <f>MAX(0,C67-E67)</f>
        <v/>
      </c>
      <c r="G67" s="21" t="n">
        <v>2029</v>
      </c>
    </row>
    <row r="68">
      <c r="A68" s="21" t="n">
        <v>48</v>
      </c>
      <c r="B68" s="33" t="n">
        <v>47453</v>
      </c>
      <c r="C68" s="13">
        <f>F67</f>
        <v/>
      </c>
      <c r="D68" s="13">
        <f>MAX(0,C68*$B11/12)</f>
        <v/>
      </c>
      <c r="E68" s="13">
        <f>MAX(0,MIN(C68,$B12-D68))</f>
        <v/>
      </c>
      <c r="F68" s="13">
        <f>MAX(0,C68-E68)</f>
        <v/>
      </c>
      <c r="G68" s="21" t="n">
        <v>2029</v>
      </c>
    </row>
    <row r="69">
      <c r="A69" s="21" t="n">
        <v>49</v>
      </c>
      <c r="B69" s="33" t="n">
        <v>47484</v>
      </c>
      <c r="C69" s="13">
        <f>F68</f>
        <v/>
      </c>
      <c r="D69" s="13">
        <f>MAX(0,C69*$B11/12)</f>
        <v/>
      </c>
      <c r="E69" s="13">
        <f>MAX(0,MIN(C69,$B12-D69))</f>
        <v/>
      </c>
      <c r="F69" s="13">
        <f>MAX(0,C69-E69)</f>
        <v/>
      </c>
      <c r="G69" s="21" t="n">
        <v>2030</v>
      </c>
    </row>
    <row r="70">
      <c r="A70" s="21" t="n">
        <v>50</v>
      </c>
      <c r="B70" s="33" t="n">
        <v>47515</v>
      </c>
      <c r="C70" s="13">
        <f>F69</f>
        <v/>
      </c>
      <c r="D70" s="13">
        <f>MAX(0,C70*$B11/12)</f>
        <v/>
      </c>
      <c r="E70" s="13">
        <f>MAX(0,MIN(C70,$B12-D70))</f>
        <v/>
      </c>
      <c r="F70" s="13">
        <f>MAX(0,C70-E70)</f>
        <v/>
      </c>
      <c r="G70" s="21" t="n">
        <v>2030</v>
      </c>
    </row>
    <row r="71">
      <c r="A71" s="21" t="n">
        <v>51</v>
      </c>
      <c r="B71" s="33" t="n">
        <v>47543</v>
      </c>
      <c r="C71" s="13">
        <f>F70</f>
        <v/>
      </c>
      <c r="D71" s="13">
        <f>MAX(0,C71*$B11/12)</f>
        <v/>
      </c>
      <c r="E71" s="13">
        <f>MAX(0,MIN(C71,$B12-D71))</f>
        <v/>
      </c>
      <c r="F71" s="13">
        <f>MAX(0,C71-E71)</f>
        <v/>
      </c>
      <c r="G71" s="21" t="n">
        <v>2030</v>
      </c>
    </row>
    <row r="72">
      <c r="A72" s="21" t="n">
        <v>52</v>
      </c>
      <c r="B72" s="33" t="n">
        <v>47574</v>
      </c>
      <c r="C72" s="13">
        <f>F71</f>
        <v/>
      </c>
      <c r="D72" s="13">
        <f>MAX(0,C72*$B11/12)</f>
        <v/>
      </c>
      <c r="E72" s="13">
        <f>MAX(0,MIN(C72,$B12-D72))</f>
        <v/>
      </c>
      <c r="F72" s="13">
        <f>MAX(0,C72-E72)</f>
        <v/>
      </c>
      <c r="G72" s="21" t="n">
        <v>2030</v>
      </c>
    </row>
    <row r="73">
      <c r="A73" s="21" t="n">
        <v>53</v>
      </c>
      <c r="B73" s="33" t="n">
        <v>47604</v>
      </c>
      <c r="C73" s="13">
        <f>F72</f>
        <v/>
      </c>
      <c r="D73" s="13">
        <f>MAX(0,C73*$B11/12)</f>
        <v/>
      </c>
      <c r="E73" s="13">
        <f>MAX(0,MIN(C73,$B12-D73))</f>
        <v/>
      </c>
      <c r="F73" s="13">
        <f>MAX(0,C73-E73)</f>
        <v/>
      </c>
      <c r="G73" s="21" t="n">
        <v>2030</v>
      </c>
    </row>
    <row r="74">
      <c r="A74" s="21" t="n">
        <v>54</v>
      </c>
      <c r="B74" s="33" t="n">
        <v>47635</v>
      </c>
      <c r="C74" s="13">
        <f>F73</f>
        <v/>
      </c>
      <c r="D74" s="13">
        <f>MAX(0,C74*$B11/12)</f>
        <v/>
      </c>
      <c r="E74" s="13">
        <f>MAX(0,MIN(C74,$B12-D74))</f>
        <v/>
      </c>
      <c r="F74" s="13">
        <f>MAX(0,C74-E74)</f>
        <v/>
      </c>
      <c r="G74" s="21" t="n">
        <v>2030</v>
      </c>
    </row>
    <row r="77">
      <c r="A77" s="2" t="inlineStr">
        <is>
          <t>ANNUAL SUMMARY</t>
        </is>
      </c>
    </row>
    <row r="78">
      <c r="A78" s="30" t="inlineStr">
        <is>
          <t>Year</t>
        </is>
      </c>
      <c r="B78" s="30" t="inlineStr">
        <is>
          <t>Opening Balance</t>
        </is>
      </c>
      <c r="C78" s="30" t="inlineStr">
        <is>
          <t>Total Interest</t>
        </is>
      </c>
      <c r="D78" s="30" t="inlineStr">
        <is>
          <t>Total Principal</t>
        </is>
      </c>
      <c r="E78" s="30" t="inlineStr">
        <is>
          <t>Closing Balance</t>
        </is>
      </c>
      <c r="F78" s="30" t="inlineStr"/>
    </row>
    <row r="79">
      <c r="A79" s="21" t="n">
        <v>2026</v>
      </c>
      <c r="B79" s="13">
        <f>C21</f>
        <v/>
      </c>
      <c r="C79" s="13">
        <f>SUM(D21:D32)</f>
        <v/>
      </c>
      <c r="D79" s="13">
        <f>SUM(E21:E32)</f>
        <v/>
      </c>
      <c r="E79" s="13">
        <f>F32</f>
        <v/>
      </c>
    </row>
    <row r="80">
      <c r="A80" s="21" t="n">
        <v>2027</v>
      </c>
      <c r="B80" s="13">
        <f>C33</f>
        <v/>
      </c>
      <c r="C80" s="13">
        <f>SUM(D33:D44)</f>
        <v/>
      </c>
      <c r="D80" s="13">
        <f>SUM(E33:E44)</f>
        <v/>
      </c>
      <c r="E80" s="13">
        <f>F44</f>
        <v/>
      </c>
    </row>
    <row r="81">
      <c r="A81" s="21" t="n">
        <v>2028</v>
      </c>
      <c r="B81" s="13">
        <f>C45</f>
        <v/>
      </c>
      <c r="C81" s="13">
        <f>SUM(D45:D56)</f>
        <v/>
      </c>
      <c r="D81" s="13">
        <f>SUM(E45:E56)</f>
        <v/>
      </c>
      <c r="E81" s="13">
        <f>F56</f>
        <v/>
      </c>
    </row>
    <row r="84">
      <c r="A84" s="1" t="inlineStr">
        <is>
          <t>Current Balance (12/31/2025):</t>
        </is>
      </c>
      <c r="B84" s="26">
        <f>B10</f>
        <v/>
      </c>
    </row>
  </sheetData>
  <mergeCells count="3">
    <mergeCell ref="A1:C1"/>
    <mergeCell ref="A77:F77"/>
    <mergeCell ref="A15:C15"/>
  </mergeCells>
  <pageMargins left="0.75" right="0.75" top="1" bottom="1" header="0.5" footer="0.5"/>
  <legacyDrawing xmlns:r="http://schemas.openxmlformats.org/officeDocument/2006/relationships" r:id="anysvml"/>
</worksheet>
</file>

<file path=xl/worksheets/sheet37.xml><?xml version="1.0" encoding="utf-8"?>
<worksheet xmlns="http://schemas.openxmlformats.org/spreadsheetml/2006/main">
  <sheetPr>
    <tabColor rgb="00808080"/>
    <outlinePr summaryBelow="1" summaryRight="1"/>
    <pageSetUpPr/>
  </sheetPr>
  <dimension ref="A1:G98"/>
  <sheetViews>
    <sheetView workbookViewId="0">
      <selection activeCell="A1" sqref="A1"/>
    </sheetView>
  </sheetViews>
  <sheetFormatPr baseColWidth="8" defaultRowHeight="15"/>
  <cols>
    <col width="14" customWidth="1" min="1" max="1"/>
    <col width="20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>
      <c r="A1" s="2" t="inlineStr">
        <is>
          <t>LOAN DETAILS</t>
        </is>
      </c>
    </row>
    <row r="2">
      <c r="A2" t="inlineStr">
        <is>
          <t>Lender:</t>
        </is>
      </c>
      <c r="B2" s="4" t="inlineStr">
        <is>
          <t>Amur Equipment Finance</t>
        </is>
      </c>
    </row>
    <row r="3">
      <c r="A3" t="inlineStr">
        <is>
          <t>Loan ID:</t>
        </is>
      </c>
      <c r="B3" s="4" t="inlineStr">
        <is>
          <t>01-2984-000-000-00</t>
        </is>
      </c>
    </row>
    <row r="4">
      <c r="A4" t="inlineStr">
        <is>
          <t>Loan Number:</t>
        </is>
      </c>
      <c r="B4" s="4" t="inlineStr">
        <is>
          <t>1260028</t>
        </is>
      </c>
    </row>
    <row r="5">
      <c r="A5" t="inlineStr">
        <is>
          <t>Description:</t>
        </is>
      </c>
      <c r="B5" s="4" t="inlineStr">
        <is>
          <t>10 Vacuum Pumps (Tanker Pumps)</t>
        </is>
      </c>
    </row>
    <row r="6">
      <c r="A6" t="inlineStr">
        <is>
          <t>Collateral:</t>
        </is>
      </c>
      <c r="B6" s="4" t="inlineStr">
        <is>
          <t>Equipment - Pumps</t>
        </is>
      </c>
    </row>
    <row r="7">
      <c r="A7" t="inlineStr">
        <is>
          <t>Origination:</t>
        </is>
      </c>
      <c r="B7" s="4" t="inlineStr">
        <is>
          <t>09/01/2025</t>
        </is>
      </c>
    </row>
    <row r="8">
      <c r="A8" t="inlineStr">
        <is>
          <t>Maturity:</t>
        </is>
      </c>
      <c r="B8" s="4" t="inlineStr">
        <is>
          <t>08/01/2031</t>
        </is>
      </c>
    </row>
    <row r="9">
      <c r="A9" t="inlineStr">
        <is>
          <t>Original Balance:</t>
        </is>
      </c>
      <c r="B9" s="26" t="n">
        <v>67656.25</v>
      </c>
    </row>
    <row r="10">
      <c r="A10" t="inlineStr">
        <is>
          <t>Current Balance:</t>
        </is>
      </c>
      <c r="B10" s="26" t="n">
        <v>64928</v>
      </c>
    </row>
    <row r="11">
      <c r="A11" t="inlineStr">
        <is>
          <t>Annual Rate:</t>
        </is>
      </c>
      <c r="B11" s="6" t="n">
        <v>0.1075</v>
      </c>
    </row>
    <row r="12">
      <c r="A12" t="inlineStr">
        <is>
          <t>Monthly Payment:</t>
        </is>
      </c>
      <c r="B12" s="26" t="n">
        <v>1279</v>
      </c>
    </row>
    <row r="13">
      <c r="A13" t="inlineStr">
        <is>
          <t>Loan Type:</t>
        </is>
      </c>
      <c r="B13" s="4" t="inlineStr">
        <is>
          <t>AMORTIZING</t>
        </is>
      </c>
    </row>
    <row r="15">
      <c r="A15" s="20" t="inlineStr">
        <is>
          <t>AI ANALYSIS</t>
        </is>
      </c>
    </row>
    <row r="16">
      <c r="A16" t="inlineStr">
        <is>
          <t>Classification:</t>
        </is>
      </c>
      <c r="B16" s="9" t="inlineStr">
        <is>
          <t>Standard equipment financing loan with fixed monthly payments.</t>
        </is>
      </c>
    </row>
    <row r="17">
      <c r="A17" t="inlineStr">
        <is>
          <t>Amort. Notes:</t>
        </is>
      </c>
      <c r="B17" s="9" t="inlineStr">
        <is>
          <t>Self-amortizing over term. Rate: 10.75% APR.</t>
        </is>
      </c>
    </row>
    <row r="18">
      <c r="A18" t="inlineStr">
        <is>
          <t>Source Doc:</t>
        </is>
      </c>
      <c r="B18" s="9" t="inlineStr">
        <is>
          <t>Loan 50 - data/loans.md</t>
        </is>
      </c>
    </row>
    <row r="20">
      <c r="A20" s="10" t="inlineStr">
        <is>
          <t>Month #</t>
        </is>
      </c>
      <c r="B20" s="10" t="inlineStr">
        <is>
          <t>Date</t>
        </is>
      </c>
      <c r="C20" s="10" t="inlineStr">
        <is>
          <t>Opening Balance</t>
        </is>
      </c>
      <c r="D20" s="10" t="inlineStr">
        <is>
          <t>Interest</t>
        </is>
      </c>
      <c r="E20" s="10" t="inlineStr">
        <is>
          <t>Principal</t>
        </is>
      </c>
      <c r="F20" s="10" t="inlineStr">
        <is>
          <t>Closing Balance</t>
        </is>
      </c>
      <c r="G20" s="10" t="inlineStr">
        <is>
          <t>Year</t>
        </is>
      </c>
    </row>
    <row r="21">
      <c r="A21" s="21" t="n">
        <v>1</v>
      </c>
      <c r="B21" s="33" t="n">
        <v>46023</v>
      </c>
      <c r="C21" s="13">
        <f>B10</f>
        <v/>
      </c>
      <c r="D21" s="13">
        <f>MAX(0,C21*$B11/12)</f>
        <v/>
      </c>
      <c r="E21" s="13">
        <f>MAX(0,MIN(C21,$B12-D21))</f>
        <v/>
      </c>
      <c r="F21" s="13">
        <f>MAX(0,C21-E21)</f>
        <v/>
      </c>
      <c r="G21" s="21" t="n">
        <v>2026</v>
      </c>
    </row>
    <row r="22">
      <c r="A22" s="21" t="n">
        <v>2</v>
      </c>
      <c r="B22" s="33" t="n">
        <v>46054</v>
      </c>
      <c r="C22" s="13">
        <f>F21</f>
        <v/>
      </c>
      <c r="D22" s="13">
        <f>MAX(0,C22*$B11/12)</f>
        <v/>
      </c>
      <c r="E22" s="13">
        <f>MAX(0,MIN(C22,$B12-D22))</f>
        <v/>
      </c>
      <c r="F22" s="13">
        <f>MAX(0,C22-E22)</f>
        <v/>
      </c>
      <c r="G22" s="21" t="n">
        <v>2026</v>
      </c>
    </row>
    <row r="23">
      <c r="A23" s="21" t="n">
        <v>3</v>
      </c>
      <c r="B23" s="33" t="n">
        <v>46082</v>
      </c>
      <c r="C23" s="13">
        <f>F22</f>
        <v/>
      </c>
      <c r="D23" s="13">
        <f>MAX(0,C23*$B11/12)</f>
        <v/>
      </c>
      <c r="E23" s="13">
        <f>MAX(0,MIN(C23,$B12-D23))</f>
        <v/>
      </c>
      <c r="F23" s="13">
        <f>MAX(0,C23-E23)</f>
        <v/>
      </c>
      <c r="G23" s="21" t="n">
        <v>2026</v>
      </c>
    </row>
    <row r="24">
      <c r="A24" s="21" t="n">
        <v>4</v>
      </c>
      <c r="B24" s="33" t="n">
        <v>46113</v>
      </c>
      <c r="C24" s="13">
        <f>F23</f>
        <v/>
      </c>
      <c r="D24" s="13">
        <f>MAX(0,C24*$B11/12)</f>
        <v/>
      </c>
      <c r="E24" s="13">
        <f>MAX(0,MIN(C24,$B12-D24))</f>
        <v/>
      </c>
      <c r="F24" s="13">
        <f>MAX(0,C24-E24)</f>
        <v/>
      </c>
      <c r="G24" s="21" t="n">
        <v>2026</v>
      </c>
    </row>
    <row r="25">
      <c r="A25" s="21" t="n">
        <v>5</v>
      </c>
      <c r="B25" s="33" t="n">
        <v>46143</v>
      </c>
      <c r="C25" s="13">
        <f>F24</f>
        <v/>
      </c>
      <c r="D25" s="13">
        <f>MAX(0,C25*$B11/12)</f>
        <v/>
      </c>
      <c r="E25" s="13">
        <f>MAX(0,MIN(C25,$B12-D25))</f>
        <v/>
      </c>
      <c r="F25" s="13">
        <f>MAX(0,C25-E25)</f>
        <v/>
      </c>
      <c r="G25" s="21" t="n">
        <v>2026</v>
      </c>
    </row>
    <row r="26">
      <c r="A26" s="21" t="n">
        <v>6</v>
      </c>
      <c r="B26" s="33" t="n">
        <v>46174</v>
      </c>
      <c r="C26" s="13">
        <f>F25</f>
        <v/>
      </c>
      <c r="D26" s="13">
        <f>MAX(0,C26*$B11/12)</f>
        <v/>
      </c>
      <c r="E26" s="13">
        <f>MAX(0,MIN(C26,$B12-D26))</f>
        <v/>
      </c>
      <c r="F26" s="13">
        <f>MAX(0,C26-E26)</f>
        <v/>
      </c>
      <c r="G26" s="21" t="n">
        <v>2026</v>
      </c>
    </row>
    <row r="27">
      <c r="A27" s="21" t="n">
        <v>7</v>
      </c>
      <c r="B27" s="33" t="n">
        <v>46204</v>
      </c>
      <c r="C27" s="13">
        <f>F26</f>
        <v/>
      </c>
      <c r="D27" s="13">
        <f>MAX(0,C27*$B11/12)</f>
        <v/>
      </c>
      <c r="E27" s="13">
        <f>MAX(0,MIN(C27,$B12-D27))</f>
        <v/>
      </c>
      <c r="F27" s="13">
        <f>MAX(0,C27-E27)</f>
        <v/>
      </c>
      <c r="G27" s="21" t="n">
        <v>2026</v>
      </c>
    </row>
    <row r="28">
      <c r="A28" s="21" t="n">
        <v>8</v>
      </c>
      <c r="B28" s="33" t="n">
        <v>46235</v>
      </c>
      <c r="C28" s="13">
        <f>F27</f>
        <v/>
      </c>
      <c r="D28" s="13">
        <f>MAX(0,C28*$B11/12)</f>
        <v/>
      </c>
      <c r="E28" s="13">
        <f>MAX(0,MIN(C28,$B12-D28))</f>
        <v/>
      </c>
      <c r="F28" s="13">
        <f>MAX(0,C28-E28)</f>
        <v/>
      </c>
      <c r="G28" s="21" t="n">
        <v>2026</v>
      </c>
    </row>
    <row r="29">
      <c r="A29" s="21" t="n">
        <v>9</v>
      </c>
      <c r="B29" s="33" t="n">
        <v>46266</v>
      </c>
      <c r="C29" s="13">
        <f>F28</f>
        <v/>
      </c>
      <c r="D29" s="13">
        <f>MAX(0,C29*$B11/12)</f>
        <v/>
      </c>
      <c r="E29" s="13">
        <f>MAX(0,MIN(C29,$B12-D29))</f>
        <v/>
      </c>
      <c r="F29" s="13">
        <f>MAX(0,C29-E29)</f>
        <v/>
      </c>
      <c r="G29" s="21" t="n">
        <v>2026</v>
      </c>
    </row>
    <row r="30">
      <c r="A30" s="21" t="n">
        <v>10</v>
      </c>
      <c r="B30" s="33" t="n">
        <v>46296</v>
      </c>
      <c r="C30" s="13">
        <f>F29</f>
        <v/>
      </c>
      <c r="D30" s="13">
        <f>MAX(0,C30*$B11/12)</f>
        <v/>
      </c>
      <c r="E30" s="13">
        <f>MAX(0,MIN(C30,$B12-D30))</f>
        <v/>
      </c>
      <c r="F30" s="13">
        <f>MAX(0,C30-E30)</f>
        <v/>
      </c>
      <c r="G30" s="21" t="n">
        <v>2026</v>
      </c>
    </row>
    <row r="31">
      <c r="A31" s="21" t="n">
        <v>11</v>
      </c>
      <c r="B31" s="33" t="n">
        <v>46327</v>
      </c>
      <c r="C31" s="13">
        <f>F30</f>
        <v/>
      </c>
      <c r="D31" s="13">
        <f>MAX(0,C31*$B11/12)</f>
        <v/>
      </c>
      <c r="E31" s="13">
        <f>MAX(0,MIN(C31,$B12-D31))</f>
        <v/>
      </c>
      <c r="F31" s="13">
        <f>MAX(0,C31-E31)</f>
        <v/>
      </c>
      <c r="G31" s="21" t="n">
        <v>2026</v>
      </c>
    </row>
    <row r="32">
      <c r="A32" s="21" t="n">
        <v>12</v>
      </c>
      <c r="B32" s="33" t="n">
        <v>46357</v>
      </c>
      <c r="C32" s="13">
        <f>F31</f>
        <v/>
      </c>
      <c r="D32" s="13">
        <f>MAX(0,C32*$B11/12)</f>
        <v/>
      </c>
      <c r="E32" s="13">
        <f>MAX(0,MIN(C32,$B12-D32))</f>
        <v/>
      </c>
      <c r="F32" s="13">
        <f>MAX(0,C32-E32)</f>
        <v/>
      </c>
      <c r="G32" s="21" t="n">
        <v>2026</v>
      </c>
    </row>
    <row r="33">
      <c r="A33" s="21" t="n">
        <v>13</v>
      </c>
      <c r="B33" s="33" t="n">
        <v>46388</v>
      </c>
      <c r="C33" s="13">
        <f>F32</f>
        <v/>
      </c>
      <c r="D33" s="13">
        <f>MAX(0,C33*$B11/12)</f>
        <v/>
      </c>
      <c r="E33" s="13">
        <f>MAX(0,MIN(C33,$B12-D33))</f>
        <v/>
      </c>
      <c r="F33" s="13">
        <f>MAX(0,C33-E33)</f>
        <v/>
      </c>
      <c r="G33" s="21" t="n">
        <v>2027</v>
      </c>
    </row>
    <row r="34">
      <c r="A34" s="21" t="n">
        <v>14</v>
      </c>
      <c r="B34" s="33" t="n">
        <v>46419</v>
      </c>
      <c r="C34" s="13">
        <f>F33</f>
        <v/>
      </c>
      <c r="D34" s="13">
        <f>MAX(0,C34*$B11/12)</f>
        <v/>
      </c>
      <c r="E34" s="13">
        <f>MAX(0,MIN(C34,$B12-D34))</f>
        <v/>
      </c>
      <c r="F34" s="13">
        <f>MAX(0,C34-E34)</f>
        <v/>
      </c>
      <c r="G34" s="21" t="n">
        <v>2027</v>
      </c>
    </row>
    <row r="35">
      <c r="A35" s="21" t="n">
        <v>15</v>
      </c>
      <c r="B35" s="33" t="n">
        <v>46447</v>
      </c>
      <c r="C35" s="13">
        <f>F34</f>
        <v/>
      </c>
      <c r="D35" s="13">
        <f>MAX(0,C35*$B11/12)</f>
        <v/>
      </c>
      <c r="E35" s="13">
        <f>MAX(0,MIN(C35,$B12-D35))</f>
        <v/>
      </c>
      <c r="F35" s="13">
        <f>MAX(0,C35-E35)</f>
        <v/>
      </c>
      <c r="G35" s="21" t="n">
        <v>2027</v>
      </c>
    </row>
    <row r="36">
      <c r="A36" s="21" t="n">
        <v>16</v>
      </c>
      <c r="B36" s="33" t="n">
        <v>46478</v>
      </c>
      <c r="C36" s="13">
        <f>F35</f>
        <v/>
      </c>
      <c r="D36" s="13">
        <f>MAX(0,C36*$B11/12)</f>
        <v/>
      </c>
      <c r="E36" s="13">
        <f>MAX(0,MIN(C36,$B12-D36))</f>
        <v/>
      </c>
      <c r="F36" s="13">
        <f>MAX(0,C36-E36)</f>
        <v/>
      </c>
      <c r="G36" s="21" t="n">
        <v>2027</v>
      </c>
    </row>
    <row r="37">
      <c r="A37" s="21" t="n">
        <v>17</v>
      </c>
      <c r="B37" s="33" t="n">
        <v>46508</v>
      </c>
      <c r="C37" s="13">
        <f>F36</f>
        <v/>
      </c>
      <c r="D37" s="13">
        <f>MAX(0,C37*$B11/12)</f>
        <v/>
      </c>
      <c r="E37" s="13">
        <f>MAX(0,MIN(C37,$B12-D37))</f>
        <v/>
      </c>
      <c r="F37" s="13">
        <f>MAX(0,C37-E37)</f>
        <v/>
      </c>
      <c r="G37" s="21" t="n">
        <v>2027</v>
      </c>
    </row>
    <row r="38">
      <c r="A38" s="21" t="n">
        <v>18</v>
      </c>
      <c r="B38" s="33" t="n">
        <v>46539</v>
      </c>
      <c r="C38" s="13">
        <f>F37</f>
        <v/>
      </c>
      <c r="D38" s="13">
        <f>MAX(0,C38*$B11/12)</f>
        <v/>
      </c>
      <c r="E38" s="13">
        <f>MAX(0,MIN(C38,$B12-D38))</f>
        <v/>
      </c>
      <c r="F38" s="13">
        <f>MAX(0,C38-E38)</f>
        <v/>
      </c>
      <c r="G38" s="21" t="n">
        <v>2027</v>
      </c>
    </row>
    <row r="39">
      <c r="A39" s="21" t="n">
        <v>19</v>
      </c>
      <c r="B39" s="33" t="n">
        <v>46569</v>
      </c>
      <c r="C39" s="13">
        <f>F38</f>
        <v/>
      </c>
      <c r="D39" s="13">
        <f>MAX(0,C39*$B11/12)</f>
        <v/>
      </c>
      <c r="E39" s="13">
        <f>MAX(0,MIN(C39,$B12-D39))</f>
        <v/>
      </c>
      <c r="F39" s="13">
        <f>MAX(0,C39-E39)</f>
        <v/>
      </c>
      <c r="G39" s="21" t="n">
        <v>2027</v>
      </c>
    </row>
    <row r="40">
      <c r="A40" s="21" t="n">
        <v>20</v>
      </c>
      <c r="B40" s="33" t="n">
        <v>46600</v>
      </c>
      <c r="C40" s="13">
        <f>F39</f>
        <v/>
      </c>
      <c r="D40" s="13">
        <f>MAX(0,C40*$B11/12)</f>
        <v/>
      </c>
      <c r="E40" s="13">
        <f>MAX(0,MIN(C40,$B12-D40))</f>
        <v/>
      </c>
      <c r="F40" s="13">
        <f>MAX(0,C40-E40)</f>
        <v/>
      </c>
      <c r="G40" s="21" t="n">
        <v>2027</v>
      </c>
    </row>
    <row r="41">
      <c r="A41" s="21" t="n">
        <v>21</v>
      </c>
      <c r="B41" s="33" t="n">
        <v>46631</v>
      </c>
      <c r="C41" s="13">
        <f>F40</f>
        <v/>
      </c>
      <c r="D41" s="13">
        <f>MAX(0,C41*$B11/12)</f>
        <v/>
      </c>
      <c r="E41" s="13">
        <f>MAX(0,MIN(C41,$B12-D41))</f>
        <v/>
      </c>
      <c r="F41" s="13">
        <f>MAX(0,C41-E41)</f>
        <v/>
      </c>
      <c r="G41" s="21" t="n">
        <v>2027</v>
      </c>
    </row>
    <row r="42">
      <c r="A42" s="21" t="n">
        <v>22</v>
      </c>
      <c r="B42" s="33" t="n">
        <v>46661</v>
      </c>
      <c r="C42" s="13">
        <f>F41</f>
        <v/>
      </c>
      <c r="D42" s="13">
        <f>MAX(0,C42*$B11/12)</f>
        <v/>
      </c>
      <c r="E42" s="13">
        <f>MAX(0,MIN(C42,$B12-D42))</f>
        <v/>
      </c>
      <c r="F42" s="13">
        <f>MAX(0,C42-E42)</f>
        <v/>
      </c>
      <c r="G42" s="21" t="n">
        <v>2027</v>
      </c>
    </row>
    <row r="43">
      <c r="A43" s="21" t="n">
        <v>23</v>
      </c>
      <c r="B43" s="33" t="n">
        <v>46692</v>
      </c>
      <c r="C43" s="13">
        <f>F42</f>
        <v/>
      </c>
      <c r="D43" s="13">
        <f>MAX(0,C43*$B11/12)</f>
        <v/>
      </c>
      <c r="E43" s="13">
        <f>MAX(0,MIN(C43,$B12-D43))</f>
        <v/>
      </c>
      <c r="F43" s="13">
        <f>MAX(0,C43-E43)</f>
        <v/>
      </c>
      <c r="G43" s="21" t="n">
        <v>2027</v>
      </c>
    </row>
    <row r="44">
      <c r="A44" s="21" t="n">
        <v>24</v>
      </c>
      <c r="B44" s="33" t="n">
        <v>46722</v>
      </c>
      <c r="C44" s="13">
        <f>F43</f>
        <v/>
      </c>
      <c r="D44" s="13">
        <f>MAX(0,C44*$B11/12)</f>
        <v/>
      </c>
      <c r="E44" s="13">
        <f>MAX(0,MIN(C44,$B12-D44))</f>
        <v/>
      </c>
      <c r="F44" s="13">
        <f>MAX(0,C44-E44)</f>
        <v/>
      </c>
      <c r="G44" s="21" t="n">
        <v>2027</v>
      </c>
    </row>
    <row r="45">
      <c r="A45" s="21" t="n">
        <v>25</v>
      </c>
      <c r="B45" s="33" t="n">
        <v>46753</v>
      </c>
      <c r="C45" s="13">
        <f>F44</f>
        <v/>
      </c>
      <c r="D45" s="13">
        <f>MAX(0,C45*$B11/12)</f>
        <v/>
      </c>
      <c r="E45" s="13">
        <f>MAX(0,MIN(C45,$B12-D45))</f>
        <v/>
      </c>
      <c r="F45" s="13">
        <f>MAX(0,C45-E45)</f>
        <v/>
      </c>
      <c r="G45" s="21" t="n">
        <v>2028</v>
      </c>
    </row>
    <row r="46">
      <c r="A46" s="21" t="n">
        <v>26</v>
      </c>
      <c r="B46" s="33" t="n">
        <v>46784</v>
      </c>
      <c r="C46" s="13">
        <f>F45</f>
        <v/>
      </c>
      <c r="D46" s="13">
        <f>MAX(0,C46*$B11/12)</f>
        <v/>
      </c>
      <c r="E46" s="13">
        <f>MAX(0,MIN(C46,$B12-D46))</f>
        <v/>
      </c>
      <c r="F46" s="13">
        <f>MAX(0,C46-E46)</f>
        <v/>
      </c>
      <c r="G46" s="21" t="n">
        <v>2028</v>
      </c>
    </row>
    <row r="47">
      <c r="A47" s="21" t="n">
        <v>27</v>
      </c>
      <c r="B47" s="33" t="n">
        <v>46813</v>
      </c>
      <c r="C47" s="13">
        <f>F46</f>
        <v/>
      </c>
      <c r="D47" s="13">
        <f>MAX(0,C47*$B11/12)</f>
        <v/>
      </c>
      <c r="E47" s="13">
        <f>MAX(0,MIN(C47,$B12-D47))</f>
        <v/>
      </c>
      <c r="F47" s="13">
        <f>MAX(0,C47-E47)</f>
        <v/>
      </c>
      <c r="G47" s="21" t="n">
        <v>2028</v>
      </c>
    </row>
    <row r="48">
      <c r="A48" s="21" t="n">
        <v>28</v>
      </c>
      <c r="B48" s="33" t="n">
        <v>46844</v>
      </c>
      <c r="C48" s="13">
        <f>F47</f>
        <v/>
      </c>
      <c r="D48" s="13">
        <f>MAX(0,C48*$B11/12)</f>
        <v/>
      </c>
      <c r="E48" s="13">
        <f>MAX(0,MIN(C48,$B12-D48))</f>
        <v/>
      </c>
      <c r="F48" s="13">
        <f>MAX(0,C48-E48)</f>
        <v/>
      </c>
      <c r="G48" s="21" t="n">
        <v>2028</v>
      </c>
    </row>
    <row r="49">
      <c r="A49" s="21" t="n">
        <v>29</v>
      </c>
      <c r="B49" s="33" t="n">
        <v>46874</v>
      </c>
      <c r="C49" s="13">
        <f>F48</f>
        <v/>
      </c>
      <c r="D49" s="13">
        <f>MAX(0,C49*$B11/12)</f>
        <v/>
      </c>
      <c r="E49" s="13">
        <f>MAX(0,MIN(C49,$B12-D49))</f>
        <v/>
      </c>
      <c r="F49" s="13">
        <f>MAX(0,C49-E49)</f>
        <v/>
      </c>
      <c r="G49" s="21" t="n">
        <v>2028</v>
      </c>
    </row>
    <row r="50">
      <c r="A50" s="21" t="n">
        <v>30</v>
      </c>
      <c r="B50" s="33" t="n">
        <v>46905</v>
      </c>
      <c r="C50" s="13">
        <f>F49</f>
        <v/>
      </c>
      <c r="D50" s="13">
        <f>MAX(0,C50*$B11/12)</f>
        <v/>
      </c>
      <c r="E50" s="13">
        <f>MAX(0,MIN(C50,$B12-D50))</f>
        <v/>
      </c>
      <c r="F50" s="13">
        <f>MAX(0,C50-E50)</f>
        <v/>
      </c>
      <c r="G50" s="21" t="n">
        <v>2028</v>
      </c>
    </row>
    <row r="51">
      <c r="A51" s="21" t="n">
        <v>31</v>
      </c>
      <c r="B51" s="33" t="n">
        <v>46935</v>
      </c>
      <c r="C51" s="13">
        <f>F50</f>
        <v/>
      </c>
      <c r="D51" s="13">
        <f>MAX(0,C51*$B11/12)</f>
        <v/>
      </c>
      <c r="E51" s="13">
        <f>MAX(0,MIN(C51,$B12-D51))</f>
        <v/>
      </c>
      <c r="F51" s="13">
        <f>MAX(0,C51-E51)</f>
        <v/>
      </c>
      <c r="G51" s="21" t="n">
        <v>2028</v>
      </c>
    </row>
    <row r="52">
      <c r="A52" s="21" t="n">
        <v>32</v>
      </c>
      <c r="B52" s="33" t="n">
        <v>46966</v>
      </c>
      <c r="C52" s="13">
        <f>F51</f>
        <v/>
      </c>
      <c r="D52" s="13">
        <f>MAX(0,C52*$B11/12)</f>
        <v/>
      </c>
      <c r="E52" s="13">
        <f>MAX(0,MIN(C52,$B12-D52))</f>
        <v/>
      </c>
      <c r="F52" s="13">
        <f>MAX(0,C52-E52)</f>
        <v/>
      </c>
      <c r="G52" s="21" t="n">
        <v>2028</v>
      </c>
    </row>
    <row r="53">
      <c r="A53" s="21" t="n">
        <v>33</v>
      </c>
      <c r="B53" s="33" t="n">
        <v>46997</v>
      </c>
      <c r="C53" s="13">
        <f>F52</f>
        <v/>
      </c>
      <c r="D53" s="13">
        <f>MAX(0,C53*$B11/12)</f>
        <v/>
      </c>
      <c r="E53" s="13">
        <f>MAX(0,MIN(C53,$B12-D53))</f>
        <v/>
      </c>
      <c r="F53" s="13">
        <f>MAX(0,C53-E53)</f>
        <v/>
      </c>
      <c r="G53" s="21" t="n">
        <v>2028</v>
      </c>
    </row>
    <row r="54">
      <c r="A54" s="21" t="n">
        <v>34</v>
      </c>
      <c r="B54" s="33" t="n">
        <v>47027</v>
      </c>
      <c r="C54" s="13">
        <f>F53</f>
        <v/>
      </c>
      <c r="D54" s="13">
        <f>MAX(0,C54*$B11/12)</f>
        <v/>
      </c>
      <c r="E54" s="13">
        <f>MAX(0,MIN(C54,$B12-D54))</f>
        <v/>
      </c>
      <c r="F54" s="13">
        <f>MAX(0,C54-E54)</f>
        <v/>
      </c>
      <c r="G54" s="21" t="n">
        <v>2028</v>
      </c>
    </row>
    <row r="55">
      <c r="A55" s="21" t="n">
        <v>35</v>
      </c>
      <c r="B55" s="33" t="n">
        <v>47058</v>
      </c>
      <c r="C55" s="13">
        <f>F54</f>
        <v/>
      </c>
      <c r="D55" s="13">
        <f>MAX(0,C55*$B11/12)</f>
        <v/>
      </c>
      <c r="E55" s="13">
        <f>MAX(0,MIN(C55,$B12-D55))</f>
        <v/>
      </c>
      <c r="F55" s="13">
        <f>MAX(0,C55-E55)</f>
        <v/>
      </c>
      <c r="G55" s="21" t="n">
        <v>2028</v>
      </c>
    </row>
    <row r="56">
      <c r="A56" s="21" t="n">
        <v>36</v>
      </c>
      <c r="B56" s="33" t="n">
        <v>47088</v>
      </c>
      <c r="C56" s="13">
        <f>F55</f>
        <v/>
      </c>
      <c r="D56" s="13">
        <f>MAX(0,C56*$B11/12)</f>
        <v/>
      </c>
      <c r="E56" s="13">
        <f>MAX(0,MIN(C56,$B12-D56))</f>
        <v/>
      </c>
      <c r="F56" s="13">
        <f>MAX(0,C56-E56)</f>
        <v/>
      </c>
      <c r="G56" s="21" t="n">
        <v>2028</v>
      </c>
    </row>
    <row r="57">
      <c r="A57" s="21" t="n">
        <v>37</v>
      </c>
      <c r="B57" s="33" t="n">
        <v>47119</v>
      </c>
      <c r="C57" s="13">
        <f>F56</f>
        <v/>
      </c>
      <c r="D57" s="13">
        <f>MAX(0,C57*$B11/12)</f>
        <v/>
      </c>
      <c r="E57" s="13">
        <f>MAX(0,MIN(C57,$B12-D57))</f>
        <v/>
      </c>
      <c r="F57" s="13">
        <f>MAX(0,C57-E57)</f>
        <v/>
      </c>
      <c r="G57" s="21" t="n">
        <v>2029</v>
      </c>
    </row>
    <row r="58">
      <c r="A58" s="21" t="n">
        <v>38</v>
      </c>
      <c r="B58" s="33" t="n">
        <v>47150</v>
      </c>
      <c r="C58" s="13">
        <f>F57</f>
        <v/>
      </c>
      <c r="D58" s="13">
        <f>MAX(0,C58*$B11/12)</f>
        <v/>
      </c>
      <c r="E58" s="13">
        <f>MAX(0,MIN(C58,$B12-D58))</f>
        <v/>
      </c>
      <c r="F58" s="13">
        <f>MAX(0,C58-E58)</f>
        <v/>
      </c>
      <c r="G58" s="21" t="n">
        <v>2029</v>
      </c>
    </row>
    <row r="59">
      <c r="A59" s="21" t="n">
        <v>39</v>
      </c>
      <c r="B59" s="33" t="n">
        <v>47178</v>
      </c>
      <c r="C59" s="13">
        <f>F58</f>
        <v/>
      </c>
      <c r="D59" s="13">
        <f>MAX(0,C59*$B11/12)</f>
        <v/>
      </c>
      <c r="E59" s="13">
        <f>MAX(0,MIN(C59,$B12-D59))</f>
        <v/>
      </c>
      <c r="F59" s="13">
        <f>MAX(0,C59-E59)</f>
        <v/>
      </c>
      <c r="G59" s="21" t="n">
        <v>2029</v>
      </c>
    </row>
    <row r="60">
      <c r="A60" s="21" t="n">
        <v>40</v>
      </c>
      <c r="B60" s="33" t="n">
        <v>47209</v>
      </c>
      <c r="C60" s="13">
        <f>F59</f>
        <v/>
      </c>
      <c r="D60" s="13">
        <f>MAX(0,C60*$B11/12)</f>
        <v/>
      </c>
      <c r="E60" s="13">
        <f>MAX(0,MIN(C60,$B12-D60))</f>
        <v/>
      </c>
      <c r="F60" s="13">
        <f>MAX(0,C60-E60)</f>
        <v/>
      </c>
      <c r="G60" s="21" t="n">
        <v>2029</v>
      </c>
    </row>
    <row r="61">
      <c r="A61" s="21" t="n">
        <v>41</v>
      </c>
      <c r="B61" s="33" t="n">
        <v>47239</v>
      </c>
      <c r="C61" s="13">
        <f>F60</f>
        <v/>
      </c>
      <c r="D61" s="13">
        <f>MAX(0,C61*$B11/12)</f>
        <v/>
      </c>
      <c r="E61" s="13">
        <f>MAX(0,MIN(C61,$B12-D61))</f>
        <v/>
      </c>
      <c r="F61" s="13">
        <f>MAX(0,C61-E61)</f>
        <v/>
      </c>
      <c r="G61" s="21" t="n">
        <v>2029</v>
      </c>
    </row>
    <row r="62">
      <c r="A62" s="21" t="n">
        <v>42</v>
      </c>
      <c r="B62" s="33" t="n">
        <v>47270</v>
      </c>
      <c r="C62" s="13">
        <f>F61</f>
        <v/>
      </c>
      <c r="D62" s="13">
        <f>MAX(0,C62*$B11/12)</f>
        <v/>
      </c>
      <c r="E62" s="13">
        <f>MAX(0,MIN(C62,$B12-D62))</f>
        <v/>
      </c>
      <c r="F62" s="13">
        <f>MAX(0,C62-E62)</f>
        <v/>
      </c>
      <c r="G62" s="21" t="n">
        <v>2029</v>
      </c>
    </row>
    <row r="63">
      <c r="A63" s="21" t="n">
        <v>43</v>
      </c>
      <c r="B63" s="33" t="n">
        <v>47300</v>
      </c>
      <c r="C63" s="13">
        <f>F62</f>
        <v/>
      </c>
      <c r="D63" s="13">
        <f>MAX(0,C63*$B11/12)</f>
        <v/>
      </c>
      <c r="E63" s="13">
        <f>MAX(0,MIN(C63,$B12-D63))</f>
        <v/>
      </c>
      <c r="F63" s="13">
        <f>MAX(0,C63-E63)</f>
        <v/>
      </c>
      <c r="G63" s="21" t="n">
        <v>2029</v>
      </c>
    </row>
    <row r="64">
      <c r="A64" s="21" t="n">
        <v>44</v>
      </c>
      <c r="B64" s="33" t="n">
        <v>47331</v>
      </c>
      <c r="C64" s="13">
        <f>F63</f>
        <v/>
      </c>
      <c r="D64" s="13">
        <f>MAX(0,C64*$B11/12)</f>
        <v/>
      </c>
      <c r="E64" s="13">
        <f>MAX(0,MIN(C64,$B12-D64))</f>
        <v/>
      </c>
      <c r="F64" s="13">
        <f>MAX(0,C64-E64)</f>
        <v/>
      </c>
      <c r="G64" s="21" t="n">
        <v>2029</v>
      </c>
    </row>
    <row r="65">
      <c r="A65" s="21" t="n">
        <v>45</v>
      </c>
      <c r="B65" s="33" t="n">
        <v>47362</v>
      </c>
      <c r="C65" s="13">
        <f>F64</f>
        <v/>
      </c>
      <c r="D65" s="13">
        <f>MAX(0,C65*$B11/12)</f>
        <v/>
      </c>
      <c r="E65" s="13">
        <f>MAX(0,MIN(C65,$B12-D65))</f>
        <v/>
      </c>
      <c r="F65" s="13">
        <f>MAX(0,C65-E65)</f>
        <v/>
      </c>
      <c r="G65" s="21" t="n">
        <v>2029</v>
      </c>
    </row>
    <row r="66">
      <c r="A66" s="21" t="n">
        <v>46</v>
      </c>
      <c r="B66" s="33" t="n">
        <v>47392</v>
      </c>
      <c r="C66" s="13">
        <f>F65</f>
        <v/>
      </c>
      <c r="D66" s="13">
        <f>MAX(0,C66*$B11/12)</f>
        <v/>
      </c>
      <c r="E66" s="13">
        <f>MAX(0,MIN(C66,$B12-D66))</f>
        <v/>
      </c>
      <c r="F66" s="13">
        <f>MAX(0,C66-E66)</f>
        <v/>
      </c>
      <c r="G66" s="21" t="n">
        <v>2029</v>
      </c>
    </row>
    <row r="67">
      <c r="A67" s="21" t="n">
        <v>47</v>
      </c>
      <c r="B67" s="33" t="n">
        <v>47423</v>
      </c>
      <c r="C67" s="13">
        <f>F66</f>
        <v/>
      </c>
      <c r="D67" s="13">
        <f>MAX(0,C67*$B11/12)</f>
        <v/>
      </c>
      <c r="E67" s="13">
        <f>MAX(0,MIN(C67,$B12-D67))</f>
        <v/>
      </c>
      <c r="F67" s="13">
        <f>MAX(0,C67-E67)</f>
        <v/>
      </c>
      <c r="G67" s="21" t="n">
        <v>2029</v>
      </c>
    </row>
    <row r="68">
      <c r="A68" s="21" t="n">
        <v>48</v>
      </c>
      <c r="B68" s="33" t="n">
        <v>47453</v>
      </c>
      <c r="C68" s="13">
        <f>F67</f>
        <v/>
      </c>
      <c r="D68" s="13">
        <f>MAX(0,C68*$B11/12)</f>
        <v/>
      </c>
      <c r="E68" s="13">
        <f>MAX(0,MIN(C68,$B12-D68))</f>
        <v/>
      </c>
      <c r="F68" s="13">
        <f>MAX(0,C68-E68)</f>
        <v/>
      </c>
      <c r="G68" s="21" t="n">
        <v>2029</v>
      </c>
    </row>
    <row r="69">
      <c r="A69" s="21" t="n">
        <v>49</v>
      </c>
      <c r="B69" s="33" t="n">
        <v>47484</v>
      </c>
      <c r="C69" s="13">
        <f>F68</f>
        <v/>
      </c>
      <c r="D69" s="13">
        <f>MAX(0,C69*$B11/12)</f>
        <v/>
      </c>
      <c r="E69" s="13">
        <f>MAX(0,MIN(C69,$B12-D69))</f>
        <v/>
      </c>
      <c r="F69" s="13">
        <f>MAX(0,C69-E69)</f>
        <v/>
      </c>
      <c r="G69" s="21" t="n">
        <v>2030</v>
      </c>
    </row>
    <row r="70">
      <c r="A70" s="21" t="n">
        <v>50</v>
      </c>
      <c r="B70" s="33" t="n">
        <v>47515</v>
      </c>
      <c r="C70" s="13">
        <f>F69</f>
        <v/>
      </c>
      <c r="D70" s="13">
        <f>MAX(0,C70*$B11/12)</f>
        <v/>
      </c>
      <c r="E70" s="13">
        <f>MAX(0,MIN(C70,$B12-D70))</f>
        <v/>
      </c>
      <c r="F70" s="13">
        <f>MAX(0,C70-E70)</f>
        <v/>
      </c>
      <c r="G70" s="21" t="n">
        <v>2030</v>
      </c>
    </row>
    <row r="71">
      <c r="A71" s="21" t="n">
        <v>51</v>
      </c>
      <c r="B71" s="33" t="n">
        <v>47543</v>
      </c>
      <c r="C71" s="13">
        <f>F70</f>
        <v/>
      </c>
      <c r="D71" s="13">
        <f>MAX(0,C71*$B11/12)</f>
        <v/>
      </c>
      <c r="E71" s="13">
        <f>MAX(0,MIN(C71,$B12-D71))</f>
        <v/>
      </c>
      <c r="F71" s="13">
        <f>MAX(0,C71-E71)</f>
        <v/>
      </c>
      <c r="G71" s="21" t="n">
        <v>2030</v>
      </c>
    </row>
    <row r="72">
      <c r="A72" s="21" t="n">
        <v>52</v>
      </c>
      <c r="B72" s="33" t="n">
        <v>47574</v>
      </c>
      <c r="C72" s="13">
        <f>F71</f>
        <v/>
      </c>
      <c r="D72" s="13">
        <f>MAX(0,C72*$B11/12)</f>
        <v/>
      </c>
      <c r="E72" s="13">
        <f>MAX(0,MIN(C72,$B12-D72))</f>
        <v/>
      </c>
      <c r="F72" s="13">
        <f>MAX(0,C72-E72)</f>
        <v/>
      </c>
      <c r="G72" s="21" t="n">
        <v>2030</v>
      </c>
    </row>
    <row r="73">
      <c r="A73" s="21" t="n">
        <v>53</v>
      </c>
      <c r="B73" s="33" t="n">
        <v>47604</v>
      </c>
      <c r="C73" s="13">
        <f>F72</f>
        <v/>
      </c>
      <c r="D73" s="13">
        <f>MAX(0,C73*$B11/12)</f>
        <v/>
      </c>
      <c r="E73" s="13">
        <f>MAX(0,MIN(C73,$B12-D73))</f>
        <v/>
      </c>
      <c r="F73" s="13">
        <f>MAX(0,C73-E73)</f>
        <v/>
      </c>
      <c r="G73" s="21" t="n">
        <v>2030</v>
      </c>
    </row>
    <row r="74">
      <c r="A74" s="21" t="n">
        <v>54</v>
      </c>
      <c r="B74" s="33" t="n">
        <v>47635</v>
      </c>
      <c r="C74" s="13">
        <f>F73</f>
        <v/>
      </c>
      <c r="D74" s="13">
        <f>MAX(0,C74*$B11/12)</f>
        <v/>
      </c>
      <c r="E74" s="13">
        <f>MAX(0,MIN(C74,$B12-D74))</f>
        <v/>
      </c>
      <c r="F74" s="13">
        <f>MAX(0,C74-E74)</f>
        <v/>
      </c>
      <c r="G74" s="21" t="n">
        <v>2030</v>
      </c>
    </row>
    <row r="75">
      <c r="A75" s="21" t="n">
        <v>55</v>
      </c>
      <c r="B75" s="33" t="n">
        <v>47665</v>
      </c>
      <c r="C75" s="13">
        <f>F74</f>
        <v/>
      </c>
      <c r="D75" s="13">
        <f>MAX(0,C75*$B11/12)</f>
        <v/>
      </c>
      <c r="E75" s="13">
        <f>MAX(0,MIN(C75,$B12-D75))</f>
        <v/>
      </c>
      <c r="F75" s="13">
        <f>MAX(0,C75-E75)</f>
        <v/>
      </c>
      <c r="G75" s="21" t="n">
        <v>2030</v>
      </c>
    </row>
    <row r="76">
      <c r="A76" s="21" t="n">
        <v>56</v>
      </c>
      <c r="B76" s="33" t="n">
        <v>47696</v>
      </c>
      <c r="C76" s="13">
        <f>F75</f>
        <v/>
      </c>
      <c r="D76" s="13">
        <f>MAX(0,C76*$B11/12)</f>
        <v/>
      </c>
      <c r="E76" s="13">
        <f>MAX(0,MIN(C76,$B12-D76))</f>
        <v/>
      </c>
      <c r="F76" s="13">
        <f>MAX(0,C76-E76)</f>
        <v/>
      </c>
      <c r="G76" s="21" t="n">
        <v>2030</v>
      </c>
    </row>
    <row r="77">
      <c r="A77" s="21" t="n">
        <v>57</v>
      </c>
      <c r="B77" s="33" t="n">
        <v>47727</v>
      </c>
      <c r="C77" s="13">
        <f>F76</f>
        <v/>
      </c>
      <c r="D77" s="13">
        <f>MAX(0,C77*$B11/12)</f>
        <v/>
      </c>
      <c r="E77" s="13">
        <f>MAX(0,MIN(C77,$B12-D77))</f>
        <v/>
      </c>
      <c r="F77" s="13">
        <f>MAX(0,C77-E77)</f>
        <v/>
      </c>
      <c r="G77" s="21" t="n">
        <v>2030</v>
      </c>
    </row>
    <row r="78">
      <c r="A78" s="21" t="n">
        <v>58</v>
      </c>
      <c r="B78" s="33" t="n">
        <v>47757</v>
      </c>
      <c r="C78" s="13">
        <f>F77</f>
        <v/>
      </c>
      <c r="D78" s="13">
        <f>MAX(0,C78*$B11/12)</f>
        <v/>
      </c>
      <c r="E78" s="13">
        <f>MAX(0,MIN(C78,$B12-D78))</f>
        <v/>
      </c>
      <c r="F78" s="13">
        <f>MAX(0,C78-E78)</f>
        <v/>
      </c>
      <c r="G78" s="21" t="n">
        <v>2030</v>
      </c>
    </row>
    <row r="79">
      <c r="A79" s="21" t="n">
        <v>59</v>
      </c>
      <c r="B79" s="33" t="n">
        <v>47788</v>
      </c>
      <c r="C79" s="13">
        <f>F78</f>
        <v/>
      </c>
      <c r="D79" s="13">
        <f>MAX(0,C79*$B11/12)</f>
        <v/>
      </c>
      <c r="E79" s="13">
        <f>MAX(0,MIN(C79,$B12-D79))</f>
        <v/>
      </c>
      <c r="F79" s="13">
        <f>MAX(0,C79-E79)</f>
        <v/>
      </c>
      <c r="G79" s="21" t="n">
        <v>2030</v>
      </c>
    </row>
    <row r="80">
      <c r="A80" s="21" t="n">
        <v>60</v>
      </c>
      <c r="B80" s="33" t="n">
        <v>47818</v>
      </c>
      <c r="C80" s="13">
        <f>F79</f>
        <v/>
      </c>
      <c r="D80" s="13">
        <f>MAX(0,C80*$B11/12)</f>
        <v/>
      </c>
      <c r="E80" s="13">
        <f>MAX(0,MIN(C80,$B12-D80))</f>
        <v/>
      </c>
      <c r="F80" s="13">
        <f>MAX(0,C80-E80)</f>
        <v/>
      </c>
      <c r="G80" s="21" t="n">
        <v>2030</v>
      </c>
    </row>
    <row r="81">
      <c r="A81" s="21" t="n">
        <v>61</v>
      </c>
      <c r="B81" s="33" t="n">
        <v>47849</v>
      </c>
      <c r="C81" s="13">
        <f>F80</f>
        <v/>
      </c>
      <c r="D81" s="13">
        <f>MAX(0,C81*$B11/12)</f>
        <v/>
      </c>
      <c r="E81" s="13">
        <f>MAX(0,MIN(C81,$B12-D81))</f>
        <v/>
      </c>
      <c r="F81" s="13">
        <f>MAX(0,C81-E81)</f>
        <v/>
      </c>
      <c r="G81" s="21" t="n">
        <v>2031</v>
      </c>
    </row>
    <row r="82">
      <c r="A82" s="21" t="n">
        <v>62</v>
      </c>
      <c r="B82" s="33" t="n">
        <v>47880</v>
      </c>
      <c r="C82" s="13">
        <f>F81</f>
        <v/>
      </c>
      <c r="D82" s="13">
        <f>MAX(0,C82*$B11/12)</f>
        <v/>
      </c>
      <c r="E82" s="13">
        <f>MAX(0,MIN(C82,$B12-D82))</f>
        <v/>
      </c>
      <c r="F82" s="13">
        <f>MAX(0,C82-E82)</f>
        <v/>
      </c>
      <c r="G82" s="21" t="n">
        <v>2031</v>
      </c>
    </row>
    <row r="83">
      <c r="A83" s="21" t="n">
        <v>63</v>
      </c>
      <c r="B83" s="33" t="n">
        <v>47908</v>
      </c>
      <c r="C83" s="13">
        <f>F82</f>
        <v/>
      </c>
      <c r="D83" s="13">
        <f>MAX(0,C83*$B11/12)</f>
        <v/>
      </c>
      <c r="E83" s="13">
        <f>MAX(0,MIN(C83,$B12-D83))</f>
        <v/>
      </c>
      <c r="F83" s="13">
        <f>MAX(0,C83-E83)</f>
        <v/>
      </c>
      <c r="G83" s="21" t="n">
        <v>2031</v>
      </c>
    </row>
    <row r="84">
      <c r="A84" s="21" t="n">
        <v>64</v>
      </c>
      <c r="B84" s="33" t="n">
        <v>47939</v>
      </c>
      <c r="C84" s="13">
        <f>F83</f>
        <v/>
      </c>
      <c r="D84" s="13">
        <f>MAX(0,C84*$B11/12)</f>
        <v/>
      </c>
      <c r="E84" s="13">
        <f>MAX(0,MIN(C84,$B12-D84))</f>
        <v/>
      </c>
      <c r="F84" s="13">
        <f>MAX(0,C84-E84)</f>
        <v/>
      </c>
      <c r="G84" s="21" t="n">
        <v>2031</v>
      </c>
    </row>
    <row r="85">
      <c r="A85" s="21" t="n">
        <v>65</v>
      </c>
      <c r="B85" s="33" t="n">
        <v>47969</v>
      </c>
      <c r="C85" s="13">
        <f>F84</f>
        <v/>
      </c>
      <c r="D85" s="13">
        <f>MAX(0,C85*$B11/12)</f>
        <v/>
      </c>
      <c r="E85" s="13">
        <f>MAX(0,MIN(C85,$B12-D85))</f>
        <v/>
      </c>
      <c r="F85" s="13">
        <f>MAX(0,C85-E85)</f>
        <v/>
      </c>
      <c r="G85" s="21" t="n">
        <v>2031</v>
      </c>
    </row>
    <row r="86">
      <c r="A86" s="21" t="n">
        <v>66</v>
      </c>
      <c r="B86" s="33" t="n">
        <v>48000</v>
      </c>
      <c r="C86" s="13">
        <f>F85</f>
        <v/>
      </c>
      <c r="D86" s="13">
        <f>MAX(0,C86*$B11/12)</f>
        <v/>
      </c>
      <c r="E86" s="13">
        <f>MAX(0,MIN(C86,$B12-D86))</f>
        <v/>
      </c>
      <c r="F86" s="13">
        <f>MAX(0,C86-E86)</f>
        <v/>
      </c>
      <c r="G86" s="21" t="n">
        <v>2031</v>
      </c>
    </row>
    <row r="87">
      <c r="A87" s="21" t="n">
        <v>67</v>
      </c>
      <c r="B87" s="33" t="n">
        <v>48030</v>
      </c>
      <c r="C87" s="13">
        <f>F86</f>
        <v/>
      </c>
      <c r="D87" s="13">
        <f>MAX(0,C87*$B11/12)</f>
        <v/>
      </c>
      <c r="E87" s="13">
        <f>MAX(0,MIN(C87,$B12-D87))</f>
        <v/>
      </c>
      <c r="F87" s="13">
        <f>MAX(0,C87-E87)</f>
        <v/>
      </c>
      <c r="G87" s="21" t="n">
        <v>2031</v>
      </c>
    </row>
    <row r="88">
      <c r="A88" s="21" t="n">
        <v>68</v>
      </c>
      <c r="B88" s="33" t="n">
        <v>48061</v>
      </c>
      <c r="C88" s="13">
        <f>F87</f>
        <v/>
      </c>
      <c r="D88" s="13">
        <f>MAX(0,C88*$B11/12)</f>
        <v/>
      </c>
      <c r="E88" s="13">
        <f>MAX(0,MIN(C88,$B12-D88))</f>
        <v/>
      </c>
      <c r="F88" s="13">
        <f>MAX(0,C88-E88)</f>
        <v/>
      </c>
      <c r="G88" s="21" t="n">
        <v>2031</v>
      </c>
    </row>
    <row r="91">
      <c r="A91" s="2" t="inlineStr">
        <is>
          <t>ANNUAL SUMMARY</t>
        </is>
      </c>
    </row>
    <row r="92">
      <c r="A92" s="30" t="inlineStr">
        <is>
          <t>Year</t>
        </is>
      </c>
      <c r="B92" s="30" t="inlineStr">
        <is>
          <t>Opening Balance</t>
        </is>
      </c>
      <c r="C92" s="30" t="inlineStr">
        <is>
          <t>Total Interest</t>
        </is>
      </c>
      <c r="D92" s="30" t="inlineStr">
        <is>
          <t>Total Principal</t>
        </is>
      </c>
      <c r="E92" s="30" t="inlineStr">
        <is>
          <t>Closing Balance</t>
        </is>
      </c>
      <c r="F92" s="30" t="inlineStr"/>
    </row>
    <row r="93">
      <c r="A93" s="21" t="n">
        <v>2026</v>
      </c>
      <c r="B93" s="13">
        <f>C21</f>
        <v/>
      </c>
      <c r="C93" s="13">
        <f>SUM(D21:D32)</f>
        <v/>
      </c>
      <c r="D93" s="13">
        <f>SUM(E21:E32)</f>
        <v/>
      </c>
      <c r="E93" s="13">
        <f>F32</f>
        <v/>
      </c>
    </row>
    <row r="94">
      <c r="A94" s="21" t="n">
        <v>2027</v>
      </c>
      <c r="B94" s="13">
        <f>C33</f>
        <v/>
      </c>
      <c r="C94" s="13">
        <f>SUM(D33:D44)</f>
        <v/>
      </c>
      <c r="D94" s="13">
        <f>SUM(E33:E44)</f>
        <v/>
      </c>
      <c r="E94" s="13">
        <f>F44</f>
        <v/>
      </c>
    </row>
    <row r="95">
      <c r="A95" s="21" t="n">
        <v>2028</v>
      </c>
      <c r="B95" s="13">
        <f>C45</f>
        <v/>
      </c>
      <c r="C95" s="13">
        <f>SUM(D45:D56)</f>
        <v/>
      </c>
      <c r="D95" s="13">
        <f>SUM(E45:E56)</f>
        <v/>
      </c>
      <c r="E95" s="13">
        <f>F56</f>
        <v/>
      </c>
    </row>
    <row r="98">
      <c r="A98" s="1" t="inlineStr">
        <is>
          <t>Current Balance (12/31/2025):</t>
        </is>
      </c>
      <c r="B98" s="26">
        <f>B10</f>
        <v/>
      </c>
    </row>
  </sheetData>
  <mergeCells count="3">
    <mergeCell ref="A1:C1"/>
    <mergeCell ref="A91:F91"/>
    <mergeCell ref="A15:C15"/>
  </mergeCells>
  <pageMargins left="0.75" right="0.75" top="1" bottom="1" header="0.5" footer="0.5"/>
  <legacyDrawing xmlns:r="http://schemas.openxmlformats.org/officeDocument/2006/relationships" r:id="anysvml"/>
</worksheet>
</file>

<file path=xl/worksheets/sheet38.xml><?xml version="1.0" encoding="utf-8"?>
<worksheet xmlns="http://schemas.openxmlformats.org/spreadsheetml/2006/main">
  <sheetPr>
    <tabColor rgb="00808080"/>
    <outlinePr summaryBelow="1" summaryRight="1"/>
    <pageSetUpPr/>
  </sheetPr>
  <dimension ref="A1:G75"/>
  <sheetViews>
    <sheetView workbookViewId="0">
      <selection activeCell="A1" sqref="A1"/>
    </sheetView>
  </sheetViews>
  <sheetFormatPr baseColWidth="8" defaultRowHeight="15"/>
  <cols>
    <col width="14" customWidth="1" min="1" max="1"/>
    <col width="20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>
      <c r="A1" s="2" t="inlineStr">
        <is>
          <t>LOAN DETAILS</t>
        </is>
      </c>
    </row>
    <row r="2">
      <c r="A2" t="inlineStr">
        <is>
          <t>Lender:</t>
        </is>
      </c>
      <c r="B2" s="4" t="inlineStr">
        <is>
          <t>Daimler</t>
        </is>
      </c>
    </row>
    <row r="3">
      <c r="A3" t="inlineStr">
        <is>
          <t>Loan ID:</t>
        </is>
      </c>
      <c r="B3" s="4" t="inlineStr">
        <is>
          <t>02-2902-000-080-00</t>
        </is>
      </c>
    </row>
    <row r="4">
      <c r="A4" t="inlineStr">
        <is>
          <t>Loan Number:</t>
        </is>
      </c>
      <c r="B4" s="4" t="inlineStr">
        <is>
          <t>377553</t>
        </is>
      </c>
    </row>
    <row r="5">
      <c r="A5" t="inlineStr">
        <is>
          <t>Description:</t>
        </is>
      </c>
      <c r="B5" s="4" t="inlineStr">
        <is>
          <t>2 KW W900L 2022</t>
        </is>
      </c>
    </row>
    <row r="6">
      <c r="A6" t="inlineStr">
        <is>
          <t>Collateral:</t>
        </is>
      </c>
      <c r="B6" s="4" t="inlineStr">
        <is>
          <t>Equipment - Semi Trucks</t>
        </is>
      </c>
    </row>
    <row r="7">
      <c r="A7" t="inlineStr">
        <is>
          <t>Origination:</t>
        </is>
      </c>
      <c r="B7" s="4" t="inlineStr">
        <is>
          <t>10/04/2025</t>
        </is>
      </c>
    </row>
    <row r="8">
      <c r="A8" t="inlineStr">
        <is>
          <t>Maturity:</t>
        </is>
      </c>
      <c r="B8" s="4" t="inlineStr">
        <is>
          <t>09/04/2029</t>
        </is>
      </c>
    </row>
    <row r="9">
      <c r="A9" t="inlineStr">
        <is>
          <t>Original Balance:</t>
        </is>
      </c>
      <c r="B9" s="26" t="n">
        <v>241972.52</v>
      </c>
    </row>
    <row r="10">
      <c r="A10" t="inlineStr">
        <is>
          <t>Current Balance:</t>
        </is>
      </c>
      <c r="B10" s="26" t="n">
        <v>230233</v>
      </c>
    </row>
    <row r="11">
      <c r="A11" t="inlineStr">
        <is>
          <t>Annual Rate:</t>
        </is>
      </c>
      <c r="B11" s="6" t="n">
        <v>0.1299</v>
      </c>
    </row>
    <row r="12">
      <c r="A12" t="inlineStr">
        <is>
          <t>Monthly Payment:</t>
        </is>
      </c>
      <c r="B12" s="26" t="n">
        <v>6524</v>
      </c>
    </row>
    <row r="13">
      <c r="A13" t="inlineStr">
        <is>
          <t>Loan Type:</t>
        </is>
      </c>
      <c r="B13" s="4" t="inlineStr">
        <is>
          <t>AMORTIZING</t>
        </is>
      </c>
    </row>
    <row r="15">
      <c r="A15" s="20" t="inlineStr">
        <is>
          <t>AI ANALYSIS</t>
        </is>
      </c>
    </row>
    <row r="16">
      <c r="A16" t="inlineStr">
        <is>
          <t>Classification:</t>
        </is>
      </c>
      <c r="B16" s="9" t="inlineStr">
        <is>
          <t>Standard equipment financing loan with fixed monthly payments.</t>
        </is>
      </c>
    </row>
    <row r="17">
      <c r="A17" t="inlineStr">
        <is>
          <t>Amort. Notes:</t>
        </is>
      </c>
      <c r="B17" s="9" t="inlineStr">
        <is>
          <t>Self-amortizing over term. Rate: 12.99% APR.</t>
        </is>
      </c>
    </row>
    <row r="18">
      <c r="A18" t="inlineStr">
        <is>
          <t>Source Doc:</t>
        </is>
      </c>
      <c r="B18" s="9" t="inlineStr">
        <is>
          <t>Loan 51 - data/loans.md</t>
        </is>
      </c>
    </row>
    <row r="20">
      <c r="A20" s="10" t="inlineStr">
        <is>
          <t>Month #</t>
        </is>
      </c>
      <c r="B20" s="10" t="inlineStr">
        <is>
          <t>Date</t>
        </is>
      </c>
      <c r="C20" s="10" t="inlineStr">
        <is>
          <t>Opening Balance</t>
        </is>
      </c>
      <c r="D20" s="10" t="inlineStr">
        <is>
          <t>Interest</t>
        </is>
      </c>
      <c r="E20" s="10" t="inlineStr">
        <is>
          <t>Principal</t>
        </is>
      </c>
      <c r="F20" s="10" t="inlineStr">
        <is>
          <t>Closing Balance</t>
        </is>
      </c>
      <c r="G20" s="10" t="inlineStr">
        <is>
          <t>Year</t>
        </is>
      </c>
    </row>
    <row r="21">
      <c r="A21" s="21" t="n">
        <v>1</v>
      </c>
      <c r="B21" s="33" t="n">
        <v>46023</v>
      </c>
      <c r="C21" s="13">
        <f>B10</f>
        <v/>
      </c>
      <c r="D21" s="13">
        <f>MAX(0,C21*$B11/12)</f>
        <v/>
      </c>
      <c r="E21" s="13">
        <f>MAX(0,MIN(C21,$B12-D21))</f>
        <v/>
      </c>
      <c r="F21" s="13">
        <f>MAX(0,C21-E21)</f>
        <v/>
      </c>
      <c r="G21" s="21" t="n">
        <v>2026</v>
      </c>
    </row>
    <row r="22">
      <c r="A22" s="21" t="n">
        <v>2</v>
      </c>
      <c r="B22" s="33" t="n">
        <v>46054</v>
      </c>
      <c r="C22" s="13">
        <f>F21</f>
        <v/>
      </c>
      <c r="D22" s="13">
        <f>MAX(0,C22*$B11/12)</f>
        <v/>
      </c>
      <c r="E22" s="13">
        <f>MAX(0,MIN(C22,$B12-D22))</f>
        <v/>
      </c>
      <c r="F22" s="13">
        <f>MAX(0,C22-E22)</f>
        <v/>
      </c>
      <c r="G22" s="21" t="n">
        <v>2026</v>
      </c>
    </row>
    <row r="23">
      <c r="A23" s="21" t="n">
        <v>3</v>
      </c>
      <c r="B23" s="33" t="n">
        <v>46082</v>
      </c>
      <c r="C23" s="13">
        <f>F22</f>
        <v/>
      </c>
      <c r="D23" s="13">
        <f>MAX(0,C23*$B11/12)</f>
        <v/>
      </c>
      <c r="E23" s="13">
        <f>MAX(0,MIN(C23,$B12-D23))</f>
        <v/>
      </c>
      <c r="F23" s="13">
        <f>MAX(0,C23-E23)</f>
        <v/>
      </c>
      <c r="G23" s="21" t="n">
        <v>2026</v>
      </c>
    </row>
    <row r="24">
      <c r="A24" s="21" t="n">
        <v>4</v>
      </c>
      <c r="B24" s="33" t="n">
        <v>46113</v>
      </c>
      <c r="C24" s="13">
        <f>F23</f>
        <v/>
      </c>
      <c r="D24" s="13">
        <f>MAX(0,C24*$B11/12)</f>
        <v/>
      </c>
      <c r="E24" s="13">
        <f>MAX(0,MIN(C24,$B12-D24))</f>
        <v/>
      </c>
      <c r="F24" s="13">
        <f>MAX(0,C24-E24)</f>
        <v/>
      </c>
      <c r="G24" s="21" t="n">
        <v>2026</v>
      </c>
    </row>
    <row r="25">
      <c r="A25" s="21" t="n">
        <v>5</v>
      </c>
      <c r="B25" s="33" t="n">
        <v>46143</v>
      </c>
      <c r="C25" s="13">
        <f>F24</f>
        <v/>
      </c>
      <c r="D25" s="13">
        <f>MAX(0,C25*$B11/12)</f>
        <v/>
      </c>
      <c r="E25" s="13">
        <f>MAX(0,MIN(C25,$B12-D25))</f>
        <v/>
      </c>
      <c r="F25" s="13">
        <f>MAX(0,C25-E25)</f>
        <v/>
      </c>
      <c r="G25" s="21" t="n">
        <v>2026</v>
      </c>
    </row>
    <row r="26">
      <c r="A26" s="21" t="n">
        <v>6</v>
      </c>
      <c r="B26" s="33" t="n">
        <v>46174</v>
      </c>
      <c r="C26" s="13">
        <f>F25</f>
        <v/>
      </c>
      <c r="D26" s="13">
        <f>MAX(0,C26*$B11/12)</f>
        <v/>
      </c>
      <c r="E26" s="13">
        <f>MAX(0,MIN(C26,$B12-D26))</f>
        <v/>
      </c>
      <c r="F26" s="13">
        <f>MAX(0,C26-E26)</f>
        <v/>
      </c>
      <c r="G26" s="21" t="n">
        <v>2026</v>
      </c>
    </row>
    <row r="27">
      <c r="A27" s="21" t="n">
        <v>7</v>
      </c>
      <c r="B27" s="33" t="n">
        <v>46204</v>
      </c>
      <c r="C27" s="13">
        <f>F26</f>
        <v/>
      </c>
      <c r="D27" s="13">
        <f>MAX(0,C27*$B11/12)</f>
        <v/>
      </c>
      <c r="E27" s="13">
        <f>MAX(0,MIN(C27,$B12-D27))</f>
        <v/>
      </c>
      <c r="F27" s="13">
        <f>MAX(0,C27-E27)</f>
        <v/>
      </c>
      <c r="G27" s="21" t="n">
        <v>2026</v>
      </c>
    </row>
    <row r="28">
      <c r="A28" s="21" t="n">
        <v>8</v>
      </c>
      <c r="B28" s="33" t="n">
        <v>46235</v>
      </c>
      <c r="C28" s="13">
        <f>F27</f>
        <v/>
      </c>
      <c r="D28" s="13">
        <f>MAX(0,C28*$B11/12)</f>
        <v/>
      </c>
      <c r="E28" s="13">
        <f>MAX(0,MIN(C28,$B12-D28))</f>
        <v/>
      </c>
      <c r="F28" s="13">
        <f>MAX(0,C28-E28)</f>
        <v/>
      </c>
      <c r="G28" s="21" t="n">
        <v>2026</v>
      </c>
    </row>
    <row r="29">
      <c r="A29" s="21" t="n">
        <v>9</v>
      </c>
      <c r="B29" s="33" t="n">
        <v>46266</v>
      </c>
      <c r="C29" s="13">
        <f>F28</f>
        <v/>
      </c>
      <c r="D29" s="13">
        <f>MAX(0,C29*$B11/12)</f>
        <v/>
      </c>
      <c r="E29" s="13">
        <f>MAX(0,MIN(C29,$B12-D29))</f>
        <v/>
      </c>
      <c r="F29" s="13">
        <f>MAX(0,C29-E29)</f>
        <v/>
      </c>
      <c r="G29" s="21" t="n">
        <v>2026</v>
      </c>
    </row>
    <row r="30">
      <c r="A30" s="21" t="n">
        <v>10</v>
      </c>
      <c r="B30" s="33" t="n">
        <v>46296</v>
      </c>
      <c r="C30" s="13">
        <f>F29</f>
        <v/>
      </c>
      <c r="D30" s="13">
        <f>MAX(0,C30*$B11/12)</f>
        <v/>
      </c>
      <c r="E30" s="13">
        <f>MAX(0,MIN(C30,$B12-D30))</f>
        <v/>
      </c>
      <c r="F30" s="13">
        <f>MAX(0,C30-E30)</f>
        <v/>
      </c>
      <c r="G30" s="21" t="n">
        <v>2026</v>
      </c>
    </row>
    <row r="31">
      <c r="A31" s="21" t="n">
        <v>11</v>
      </c>
      <c r="B31" s="33" t="n">
        <v>46327</v>
      </c>
      <c r="C31" s="13">
        <f>F30</f>
        <v/>
      </c>
      <c r="D31" s="13">
        <f>MAX(0,C31*$B11/12)</f>
        <v/>
      </c>
      <c r="E31" s="13">
        <f>MAX(0,MIN(C31,$B12-D31))</f>
        <v/>
      </c>
      <c r="F31" s="13">
        <f>MAX(0,C31-E31)</f>
        <v/>
      </c>
      <c r="G31" s="21" t="n">
        <v>2026</v>
      </c>
    </row>
    <row r="32">
      <c r="A32" s="21" t="n">
        <v>12</v>
      </c>
      <c r="B32" s="33" t="n">
        <v>46357</v>
      </c>
      <c r="C32" s="13">
        <f>F31</f>
        <v/>
      </c>
      <c r="D32" s="13">
        <f>MAX(0,C32*$B11/12)</f>
        <v/>
      </c>
      <c r="E32" s="13">
        <f>MAX(0,MIN(C32,$B12-D32))</f>
        <v/>
      </c>
      <c r="F32" s="13">
        <f>MAX(0,C32-E32)</f>
        <v/>
      </c>
      <c r="G32" s="21" t="n">
        <v>2026</v>
      </c>
    </row>
    <row r="33">
      <c r="A33" s="21" t="n">
        <v>13</v>
      </c>
      <c r="B33" s="33" t="n">
        <v>46388</v>
      </c>
      <c r="C33" s="13">
        <f>F32</f>
        <v/>
      </c>
      <c r="D33" s="13">
        <f>MAX(0,C33*$B11/12)</f>
        <v/>
      </c>
      <c r="E33" s="13">
        <f>MAX(0,MIN(C33,$B12-D33))</f>
        <v/>
      </c>
      <c r="F33" s="13">
        <f>MAX(0,C33-E33)</f>
        <v/>
      </c>
      <c r="G33" s="21" t="n">
        <v>2027</v>
      </c>
    </row>
    <row r="34">
      <c r="A34" s="21" t="n">
        <v>14</v>
      </c>
      <c r="B34" s="33" t="n">
        <v>46419</v>
      </c>
      <c r="C34" s="13">
        <f>F33</f>
        <v/>
      </c>
      <c r="D34" s="13">
        <f>MAX(0,C34*$B11/12)</f>
        <v/>
      </c>
      <c r="E34" s="13">
        <f>MAX(0,MIN(C34,$B12-D34))</f>
        <v/>
      </c>
      <c r="F34" s="13">
        <f>MAX(0,C34-E34)</f>
        <v/>
      </c>
      <c r="G34" s="21" t="n">
        <v>2027</v>
      </c>
    </row>
    <row r="35">
      <c r="A35" s="21" t="n">
        <v>15</v>
      </c>
      <c r="B35" s="33" t="n">
        <v>46447</v>
      </c>
      <c r="C35" s="13">
        <f>F34</f>
        <v/>
      </c>
      <c r="D35" s="13">
        <f>MAX(0,C35*$B11/12)</f>
        <v/>
      </c>
      <c r="E35" s="13">
        <f>MAX(0,MIN(C35,$B12-D35))</f>
        <v/>
      </c>
      <c r="F35" s="13">
        <f>MAX(0,C35-E35)</f>
        <v/>
      </c>
      <c r="G35" s="21" t="n">
        <v>2027</v>
      </c>
    </row>
    <row r="36">
      <c r="A36" s="21" t="n">
        <v>16</v>
      </c>
      <c r="B36" s="33" t="n">
        <v>46478</v>
      </c>
      <c r="C36" s="13">
        <f>F35</f>
        <v/>
      </c>
      <c r="D36" s="13">
        <f>MAX(0,C36*$B11/12)</f>
        <v/>
      </c>
      <c r="E36" s="13">
        <f>MAX(0,MIN(C36,$B12-D36))</f>
        <v/>
      </c>
      <c r="F36" s="13">
        <f>MAX(0,C36-E36)</f>
        <v/>
      </c>
      <c r="G36" s="21" t="n">
        <v>2027</v>
      </c>
    </row>
    <row r="37">
      <c r="A37" s="21" t="n">
        <v>17</v>
      </c>
      <c r="B37" s="33" t="n">
        <v>46508</v>
      </c>
      <c r="C37" s="13">
        <f>F36</f>
        <v/>
      </c>
      <c r="D37" s="13">
        <f>MAX(0,C37*$B11/12)</f>
        <v/>
      </c>
      <c r="E37" s="13">
        <f>MAX(0,MIN(C37,$B12-D37))</f>
        <v/>
      </c>
      <c r="F37" s="13">
        <f>MAX(0,C37-E37)</f>
        <v/>
      </c>
      <c r="G37" s="21" t="n">
        <v>2027</v>
      </c>
    </row>
    <row r="38">
      <c r="A38" s="21" t="n">
        <v>18</v>
      </c>
      <c r="B38" s="33" t="n">
        <v>46539</v>
      </c>
      <c r="C38" s="13">
        <f>F37</f>
        <v/>
      </c>
      <c r="D38" s="13">
        <f>MAX(0,C38*$B11/12)</f>
        <v/>
      </c>
      <c r="E38" s="13">
        <f>MAX(0,MIN(C38,$B12-D38))</f>
        <v/>
      </c>
      <c r="F38" s="13">
        <f>MAX(0,C38-E38)</f>
        <v/>
      </c>
      <c r="G38" s="21" t="n">
        <v>2027</v>
      </c>
    </row>
    <row r="39">
      <c r="A39" s="21" t="n">
        <v>19</v>
      </c>
      <c r="B39" s="33" t="n">
        <v>46569</v>
      </c>
      <c r="C39" s="13">
        <f>F38</f>
        <v/>
      </c>
      <c r="D39" s="13">
        <f>MAX(0,C39*$B11/12)</f>
        <v/>
      </c>
      <c r="E39" s="13">
        <f>MAX(0,MIN(C39,$B12-D39))</f>
        <v/>
      </c>
      <c r="F39" s="13">
        <f>MAX(0,C39-E39)</f>
        <v/>
      </c>
      <c r="G39" s="21" t="n">
        <v>2027</v>
      </c>
    </row>
    <row r="40">
      <c r="A40" s="21" t="n">
        <v>20</v>
      </c>
      <c r="B40" s="33" t="n">
        <v>46600</v>
      </c>
      <c r="C40" s="13">
        <f>F39</f>
        <v/>
      </c>
      <c r="D40" s="13">
        <f>MAX(0,C40*$B11/12)</f>
        <v/>
      </c>
      <c r="E40" s="13">
        <f>MAX(0,MIN(C40,$B12-D40))</f>
        <v/>
      </c>
      <c r="F40" s="13">
        <f>MAX(0,C40-E40)</f>
        <v/>
      </c>
      <c r="G40" s="21" t="n">
        <v>2027</v>
      </c>
    </row>
    <row r="41">
      <c r="A41" s="21" t="n">
        <v>21</v>
      </c>
      <c r="B41" s="33" t="n">
        <v>46631</v>
      </c>
      <c r="C41" s="13">
        <f>F40</f>
        <v/>
      </c>
      <c r="D41" s="13">
        <f>MAX(0,C41*$B11/12)</f>
        <v/>
      </c>
      <c r="E41" s="13">
        <f>MAX(0,MIN(C41,$B12-D41))</f>
        <v/>
      </c>
      <c r="F41" s="13">
        <f>MAX(0,C41-E41)</f>
        <v/>
      </c>
      <c r="G41" s="21" t="n">
        <v>2027</v>
      </c>
    </row>
    <row r="42">
      <c r="A42" s="21" t="n">
        <v>22</v>
      </c>
      <c r="B42" s="33" t="n">
        <v>46661</v>
      </c>
      <c r="C42" s="13">
        <f>F41</f>
        <v/>
      </c>
      <c r="D42" s="13">
        <f>MAX(0,C42*$B11/12)</f>
        <v/>
      </c>
      <c r="E42" s="13">
        <f>MAX(0,MIN(C42,$B12-D42))</f>
        <v/>
      </c>
      <c r="F42" s="13">
        <f>MAX(0,C42-E42)</f>
        <v/>
      </c>
      <c r="G42" s="21" t="n">
        <v>2027</v>
      </c>
    </row>
    <row r="43">
      <c r="A43" s="21" t="n">
        <v>23</v>
      </c>
      <c r="B43" s="33" t="n">
        <v>46692</v>
      </c>
      <c r="C43" s="13">
        <f>F42</f>
        <v/>
      </c>
      <c r="D43" s="13">
        <f>MAX(0,C43*$B11/12)</f>
        <v/>
      </c>
      <c r="E43" s="13">
        <f>MAX(0,MIN(C43,$B12-D43))</f>
        <v/>
      </c>
      <c r="F43" s="13">
        <f>MAX(0,C43-E43)</f>
        <v/>
      </c>
      <c r="G43" s="21" t="n">
        <v>2027</v>
      </c>
    </row>
    <row r="44">
      <c r="A44" s="21" t="n">
        <v>24</v>
      </c>
      <c r="B44" s="33" t="n">
        <v>46722</v>
      </c>
      <c r="C44" s="13">
        <f>F43</f>
        <v/>
      </c>
      <c r="D44" s="13">
        <f>MAX(0,C44*$B11/12)</f>
        <v/>
      </c>
      <c r="E44" s="13">
        <f>MAX(0,MIN(C44,$B12-D44))</f>
        <v/>
      </c>
      <c r="F44" s="13">
        <f>MAX(0,C44-E44)</f>
        <v/>
      </c>
      <c r="G44" s="21" t="n">
        <v>2027</v>
      </c>
    </row>
    <row r="45">
      <c r="A45" s="21" t="n">
        <v>25</v>
      </c>
      <c r="B45" s="33" t="n">
        <v>46753</v>
      </c>
      <c r="C45" s="13">
        <f>F44</f>
        <v/>
      </c>
      <c r="D45" s="13">
        <f>MAX(0,C45*$B11/12)</f>
        <v/>
      </c>
      <c r="E45" s="13">
        <f>MAX(0,MIN(C45,$B12-D45))</f>
        <v/>
      </c>
      <c r="F45" s="13">
        <f>MAX(0,C45-E45)</f>
        <v/>
      </c>
      <c r="G45" s="21" t="n">
        <v>2028</v>
      </c>
    </row>
    <row r="46">
      <c r="A46" s="21" t="n">
        <v>26</v>
      </c>
      <c r="B46" s="33" t="n">
        <v>46784</v>
      </c>
      <c r="C46" s="13">
        <f>F45</f>
        <v/>
      </c>
      <c r="D46" s="13">
        <f>MAX(0,C46*$B11/12)</f>
        <v/>
      </c>
      <c r="E46" s="13">
        <f>MAX(0,MIN(C46,$B12-D46))</f>
        <v/>
      </c>
      <c r="F46" s="13">
        <f>MAX(0,C46-E46)</f>
        <v/>
      </c>
      <c r="G46" s="21" t="n">
        <v>2028</v>
      </c>
    </row>
    <row r="47">
      <c r="A47" s="21" t="n">
        <v>27</v>
      </c>
      <c r="B47" s="33" t="n">
        <v>46813</v>
      </c>
      <c r="C47" s="13">
        <f>F46</f>
        <v/>
      </c>
      <c r="D47" s="13">
        <f>MAX(0,C47*$B11/12)</f>
        <v/>
      </c>
      <c r="E47" s="13">
        <f>MAX(0,MIN(C47,$B12-D47))</f>
        <v/>
      </c>
      <c r="F47" s="13">
        <f>MAX(0,C47-E47)</f>
        <v/>
      </c>
      <c r="G47" s="21" t="n">
        <v>2028</v>
      </c>
    </row>
    <row r="48">
      <c r="A48" s="21" t="n">
        <v>28</v>
      </c>
      <c r="B48" s="33" t="n">
        <v>46844</v>
      </c>
      <c r="C48" s="13">
        <f>F47</f>
        <v/>
      </c>
      <c r="D48" s="13">
        <f>MAX(0,C48*$B11/12)</f>
        <v/>
      </c>
      <c r="E48" s="13">
        <f>MAX(0,MIN(C48,$B12-D48))</f>
        <v/>
      </c>
      <c r="F48" s="13">
        <f>MAX(0,C48-E48)</f>
        <v/>
      </c>
      <c r="G48" s="21" t="n">
        <v>2028</v>
      </c>
    </row>
    <row r="49">
      <c r="A49" s="21" t="n">
        <v>29</v>
      </c>
      <c r="B49" s="33" t="n">
        <v>46874</v>
      </c>
      <c r="C49" s="13">
        <f>F48</f>
        <v/>
      </c>
      <c r="D49" s="13">
        <f>MAX(0,C49*$B11/12)</f>
        <v/>
      </c>
      <c r="E49" s="13">
        <f>MAX(0,MIN(C49,$B12-D49))</f>
        <v/>
      </c>
      <c r="F49" s="13">
        <f>MAX(0,C49-E49)</f>
        <v/>
      </c>
      <c r="G49" s="21" t="n">
        <v>2028</v>
      </c>
    </row>
    <row r="50">
      <c r="A50" s="21" t="n">
        <v>30</v>
      </c>
      <c r="B50" s="33" t="n">
        <v>46905</v>
      </c>
      <c r="C50" s="13">
        <f>F49</f>
        <v/>
      </c>
      <c r="D50" s="13">
        <f>MAX(0,C50*$B11/12)</f>
        <v/>
      </c>
      <c r="E50" s="13">
        <f>MAX(0,MIN(C50,$B12-D50))</f>
        <v/>
      </c>
      <c r="F50" s="13">
        <f>MAX(0,C50-E50)</f>
        <v/>
      </c>
      <c r="G50" s="21" t="n">
        <v>2028</v>
      </c>
    </row>
    <row r="51">
      <c r="A51" s="21" t="n">
        <v>31</v>
      </c>
      <c r="B51" s="33" t="n">
        <v>46935</v>
      </c>
      <c r="C51" s="13">
        <f>F50</f>
        <v/>
      </c>
      <c r="D51" s="13">
        <f>MAX(0,C51*$B11/12)</f>
        <v/>
      </c>
      <c r="E51" s="13">
        <f>MAX(0,MIN(C51,$B12-D51))</f>
        <v/>
      </c>
      <c r="F51" s="13">
        <f>MAX(0,C51-E51)</f>
        <v/>
      </c>
      <c r="G51" s="21" t="n">
        <v>2028</v>
      </c>
    </row>
    <row r="52">
      <c r="A52" s="21" t="n">
        <v>32</v>
      </c>
      <c r="B52" s="33" t="n">
        <v>46966</v>
      </c>
      <c r="C52" s="13">
        <f>F51</f>
        <v/>
      </c>
      <c r="D52" s="13">
        <f>MAX(0,C52*$B11/12)</f>
        <v/>
      </c>
      <c r="E52" s="13">
        <f>MAX(0,MIN(C52,$B12-D52))</f>
        <v/>
      </c>
      <c r="F52" s="13">
        <f>MAX(0,C52-E52)</f>
        <v/>
      </c>
      <c r="G52" s="21" t="n">
        <v>2028</v>
      </c>
    </row>
    <row r="53">
      <c r="A53" s="21" t="n">
        <v>33</v>
      </c>
      <c r="B53" s="33" t="n">
        <v>46997</v>
      </c>
      <c r="C53" s="13">
        <f>F52</f>
        <v/>
      </c>
      <c r="D53" s="13">
        <f>MAX(0,C53*$B11/12)</f>
        <v/>
      </c>
      <c r="E53" s="13">
        <f>MAX(0,MIN(C53,$B12-D53))</f>
        <v/>
      </c>
      <c r="F53" s="13">
        <f>MAX(0,C53-E53)</f>
        <v/>
      </c>
      <c r="G53" s="21" t="n">
        <v>2028</v>
      </c>
    </row>
    <row r="54">
      <c r="A54" s="21" t="n">
        <v>34</v>
      </c>
      <c r="B54" s="33" t="n">
        <v>47027</v>
      </c>
      <c r="C54" s="13">
        <f>F53</f>
        <v/>
      </c>
      <c r="D54" s="13">
        <f>MAX(0,C54*$B11/12)</f>
        <v/>
      </c>
      <c r="E54" s="13">
        <f>MAX(0,MIN(C54,$B12-D54))</f>
        <v/>
      </c>
      <c r="F54" s="13">
        <f>MAX(0,C54-E54)</f>
        <v/>
      </c>
      <c r="G54" s="21" t="n">
        <v>2028</v>
      </c>
    </row>
    <row r="55">
      <c r="A55" s="21" t="n">
        <v>35</v>
      </c>
      <c r="B55" s="33" t="n">
        <v>47058</v>
      </c>
      <c r="C55" s="13">
        <f>F54</f>
        <v/>
      </c>
      <c r="D55" s="13">
        <f>MAX(0,C55*$B11/12)</f>
        <v/>
      </c>
      <c r="E55" s="13">
        <f>MAX(0,MIN(C55,$B12-D55))</f>
        <v/>
      </c>
      <c r="F55" s="13">
        <f>MAX(0,C55-E55)</f>
        <v/>
      </c>
      <c r="G55" s="21" t="n">
        <v>2028</v>
      </c>
    </row>
    <row r="56">
      <c r="A56" s="21" t="n">
        <v>36</v>
      </c>
      <c r="B56" s="33" t="n">
        <v>47088</v>
      </c>
      <c r="C56" s="13">
        <f>F55</f>
        <v/>
      </c>
      <c r="D56" s="13">
        <f>MAX(0,C56*$B11/12)</f>
        <v/>
      </c>
      <c r="E56" s="13">
        <f>MAX(0,MIN(C56,$B12-D56))</f>
        <v/>
      </c>
      <c r="F56" s="13">
        <f>MAX(0,C56-E56)</f>
        <v/>
      </c>
      <c r="G56" s="21" t="n">
        <v>2028</v>
      </c>
    </row>
    <row r="57">
      <c r="A57" s="21" t="n">
        <v>37</v>
      </c>
      <c r="B57" s="33" t="n">
        <v>47119</v>
      </c>
      <c r="C57" s="13">
        <f>F56</f>
        <v/>
      </c>
      <c r="D57" s="13">
        <f>MAX(0,C57*$B11/12)</f>
        <v/>
      </c>
      <c r="E57" s="13">
        <f>MAX(0,MIN(C57,$B12-D57))</f>
        <v/>
      </c>
      <c r="F57" s="13">
        <f>MAX(0,C57-E57)</f>
        <v/>
      </c>
      <c r="G57" s="21" t="n">
        <v>2029</v>
      </c>
    </row>
    <row r="58">
      <c r="A58" s="21" t="n">
        <v>38</v>
      </c>
      <c r="B58" s="33" t="n">
        <v>47150</v>
      </c>
      <c r="C58" s="13">
        <f>F57</f>
        <v/>
      </c>
      <c r="D58" s="13">
        <f>MAX(0,C58*$B11/12)</f>
        <v/>
      </c>
      <c r="E58" s="13">
        <f>MAX(0,MIN(C58,$B12-D58))</f>
        <v/>
      </c>
      <c r="F58" s="13">
        <f>MAX(0,C58-E58)</f>
        <v/>
      </c>
      <c r="G58" s="21" t="n">
        <v>2029</v>
      </c>
    </row>
    <row r="59">
      <c r="A59" s="21" t="n">
        <v>39</v>
      </c>
      <c r="B59" s="33" t="n">
        <v>47178</v>
      </c>
      <c r="C59" s="13">
        <f>F58</f>
        <v/>
      </c>
      <c r="D59" s="13">
        <f>MAX(0,C59*$B11/12)</f>
        <v/>
      </c>
      <c r="E59" s="13">
        <f>MAX(0,MIN(C59,$B12-D59))</f>
        <v/>
      </c>
      <c r="F59" s="13">
        <f>MAX(0,C59-E59)</f>
        <v/>
      </c>
      <c r="G59" s="21" t="n">
        <v>2029</v>
      </c>
    </row>
    <row r="60">
      <c r="A60" s="21" t="n">
        <v>40</v>
      </c>
      <c r="B60" s="33" t="n">
        <v>47209</v>
      </c>
      <c r="C60" s="13">
        <f>F59</f>
        <v/>
      </c>
      <c r="D60" s="13">
        <f>MAX(0,C60*$B11/12)</f>
        <v/>
      </c>
      <c r="E60" s="13">
        <f>MAX(0,MIN(C60,$B12-D60))</f>
        <v/>
      </c>
      <c r="F60" s="13">
        <f>MAX(0,C60-E60)</f>
        <v/>
      </c>
      <c r="G60" s="21" t="n">
        <v>2029</v>
      </c>
    </row>
    <row r="61">
      <c r="A61" s="21" t="n">
        <v>41</v>
      </c>
      <c r="B61" s="33" t="n">
        <v>47239</v>
      </c>
      <c r="C61" s="13">
        <f>F60</f>
        <v/>
      </c>
      <c r="D61" s="13">
        <f>MAX(0,C61*$B11/12)</f>
        <v/>
      </c>
      <c r="E61" s="13">
        <f>MAX(0,MIN(C61,$B12-D61))</f>
        <v/>
      </c>
      <c r="F61" s="13">
        <f>MAX(0,C61-E61)</f>
        <v/>
      </c>
      <c r="G61" s="21" t="n">
        <v>2029</v>
      </c>
    </row>
    <row r="62">
      <c r="A62" s="21" t="n">
        <v>42</v>
      </c>
      <c r="B62" s="33" t="n">
        <v>47270</v>
      </c>
      <c r="C62" s="13">
        <f>F61</f>
        <v/>
      </c>
      <c r="D62" s="13">
        <f>MAX(0,C62*$B11/12)</f>
        <v/>
      </c>
      <c r="E62" s="13">
        <f>MAX(0,MIN(C62,$B12-D62))</f>
        <v/>
      </c>
      <c r="F62" s="13">
        <f>MAX(0,C62-E62)</f>
        <v/>
      </c>
      <c r="G62" s="21" t="n">
        <v>2029</v>
      </c>
    </row>
    <row r="63">
      <c r="A63" s="21" t="n">
        <v>43</v>
      </c>
      <c r="B63" s="33" t="n">
        <v>47300</v>
      </c>
      <c r="C63" s="13">
        <f>F62</f>
        <v/>
      </c>
      <c r="D63" s="13">
        <f>MAX(0,C63*$B11/12)</f>
        <v/>
      </c>
      <c r="E63" s="13">
        <f>MAX(0,MIN(C63,$B12-D63))</f>
        <v/>
      </c>
      <c r="F63" s="13">
        <f>MAX(0,C63-E63)</f>
        <v/>
      </c>
      <c r="G63" s="21" t="n">
        <v>2029</v>
      </c>
    </row>
    <row r="64">
      <c r="A64" s="21" t="n">
        <v>44</v>
      </c>
      <c r="B64" s="33" t="n">
        <v>47331</v>
      </c>
      <c r="C64" s="13">
        <f>F63</f>
        <v/>
      </c>
      <c r="D64" s="13">
        <f>MAX(0,C64*$B11/12)</f>
        <v/>
      </c>
      <c r="E64" s="13">
        <f>MAX(0,MIN(C64,$B12-D64))</f>
        <v/>
      </c>
      <c r="F64" s="13">
        <f>MAX(0,C64-E64)</f>
        <v/>
      </c>
      <c r="G64" s="21" t="n">
        <v>2029</v>
      </c>
    </row>
    <row r="65">
      <c r="A65" s="21" t="n">
        <v>45</v>
      </c>
      <c r="B65" s="33" t="n">
        <v>47362</v>
      </c>
      <c r="C65" s="13">
        <f>F64</f>
        <v/>
      </c>
      <c r="D65" s="13">
        <f>MAX(0,C65*$B11/12)</f>
        <v/>
      </c>
      <c r="E65" s="13">
        <f>MAX(0,MIN(C65,$B12-D65))</f>
        <v/>
      </c>
      <c r="F65" s="13">
        <f>MAX(0,C65-E65)</f>
        <v/>
      </c>
      <c r="G65" s="21" t="n">
        <v>2029</v>
      </c>
    </row>
    <row r="68">
      <c r="A68" s="2" t="inlineStr">
        <is>
          <t>ANNUAL SUMMARY</t>
        </is>
      </c>
    </row>
    <row r="69">
      <c r="A69" s="30" t="inlineStr">
        <is>
          <t>Year</t>
        </is>
      </c>
      <c r="B69" s="30" t="inlineStr">
        <is>
          <t>Opening Balance</t>
        </is>
      </c>
      <c r="C69" s="30" t="inlineStr">
        <is>
          <t>Total Interest</t>
        </is>
      </c>
      <c r="D69" s="30" t="inlineStr">
        <is>
          <t>Total Principal</t>
        </is>
      </c>
      <c r="E69" s="30" t="inlineStr">
        <is>
          <t>Closing Balance</t>
        </is>
      </c>
      <c r="F69" s="30" t="inlineStr"/>
    </row>
    <row r="70">
      <c r="A70" s="21" t="n">
        <v>2026</v>
      </c>
      <c r="B70" s="13">
        <f>C21</f>
        <v/>
      </c>
      <c r="C70" s="13">
        <f>SUM(D21:D32)</f>
        <v/>
      </c>
      <c r="D70" s="13">
        <f>SUM(E21:E32)</f>
        <v/>
      </c>
      <c r="E70" s="13">
        <f>F32</f>
        <v/>
      </c>
    </row>
    <row r="71">
      <c r="A71" s="21" t="n">
        <v>2027</v>
      </c>
      <c r="B71" s="13">
        <f>C33</f>
        <v/>
      </c>
      <c r="C71" s="13">
        <f>SUM(D33:D44)</f>
        <v/>
      </c>
      <c r="D71" s="13">
        <f>SUM(E33:E44)</f>
        <v/>
      </c>
      <c r="E71" s="13">
        <f>F44</f>
        <v/>
      </c>
    </row>
    <row r="72">
      <c r="A72" s="21" t="n">
        <v>2028</v>
      </c>
      <c r="B72" s="13">
        <f>C45</f>
        <v/>
      </c>
      <c r="C72" s="13">
        <f>SUM(D45:D56)</f>
        <v/>
      </c>
      <c r="D72" s="13">
        <f>SUM(E45:E56)</f>
        <v/>
      </c>
      <c r="E72" s="13">
        <f>F56</f>
        <v/>
      </c>
    </row>
    <row r="75">
      <c r="A75" s="1" t="inlineStr">
        <is>
          <t>Current Balance (12/31/2025):</t>
        </is>
      </c>
      <c r="B75" s="26">
        <f>B10</f>
        <v/>
      </c>
    </row>
  </sheetData>
  <mergeCells count="3">
    <mergeCell ref="A1:C1"/>
    <mergeCell ref="A68:F68"/>
    <mergeCell ref="A15:C15"/>
  </mergeCells>
  <pageMargins left="0.75" right="0.75" top="1" bottom="1" header="0.5" footer="0.5"/>
  <legacyDrawing xmlns:r="http://schemas.openxmlformats.org/officeDocument/2006/relationships" r:id="anysvml"/>
</worksheet>
</file>

<file path=xl/worksheets/sheet39.xml><?xml version="1.0" encoding="utf-8"?>
<worksheet xmlns="http://schemas.openxmlformats.org/spreadsheetml/2006/main">
  <sheetPr>
    <tabColor rgb="00808080"/>
    <outlinePr summaryBelow="1" summaryRight="1"/>
    <pageSetUpPr/>
  </sheetPr>
  <dimension ref="A1:G99"/>
  <sheetViews>
    <sheetView workbookViewId="0">
      <selection activeCell="A1" sqref="A1"/>
    </sheetView>
  </sheetViews>
  <sheetFormatPr baseColWidth="8" defaultRowHeight="15"/>
  <cols>
    <col width="14" customWidth="1" min="1" max="1"/>
    <col width="20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>
      <c r="A1" s="2" t="inlineStr">
        <is>
          <t>LOAN DETAILS</t>
        </is>
      </c>
    </row>
    <row r="2">
      <c r="A2" t="inlineStr">
        <is>
          <t>Lender:</t>
        </is>
      </c>
      <c r="B2" s="4" t="inlineStr">
        <is>
          <t>JX Financial</t>
        </is>
      </c>
    </row>
    <row r="3">
      <c r="A3" t="inlineStr">
        <is>
          <t>Loan ID:</t>
        </is>
      </c>
      <c r="B3" s="4" t="inlineStr">
        <is>
          <t>05-2989-000-000-00</t>
        </is>
      </c>
    </row>
    <row r="4">
      <c r="A4" t="inlineStr">
        <is>
          <t>Loan Number:</t>
        </is>
      </c>
      <c r="B4" s="4" t="inlineStr">
        <is>
          <t>N/A</t>
        </is>
      </c>
    </row>
    <row r="5">
      <c r="A5" t="inlineStr">
        <is>
          <t>Description:</t>
        </is>
      </c>
      <c r="B5" s="4" t="inlineStr">
        <is>
          <t>50 Trailers (53719-53768)</t>
        </is>
      </c>
    </row>
    <row r="6">
      <c r="A6" t="inlineStr">
        <is>
          <t>Collateral:</t>
        </is>
      </c>
      <c r="B6" s="4" t="inlineStr">
        <is>
          <t>Equipment - Trailers</t>
        </is>
      </c>
    </row>
    <row r="7">
      <c r="A7" t="inlineStr">
        <is>
          <t>Origination:</t>
        </is>
      </c>
      <c r="B7" s="4" t="inlineStr">
        <is>
          <t>10/23/2025</t>
        </is>
      </c>
    </row>
    <row r="8">
      <c r="A8" t="inlineStr">
        <is>
          <t>Maturity:</t>
        </is>
      </c>
      <c r="B8" s="4" t="inlineStr">
        <is>
          <t>09/23/2031</t>
        </is>
      </c>
    </row>
    <row r="9">
      <c r="A9" t="inlineStr">
        <is>
          <t>Original Balance:</t>
        </is>
      </c>
      <c r="B9" s="26" t="n">
        <v>2438820</v>
      </c>
    </row>
    <row r="10">
      <c r="A10" t="inlineStr">
        <is>
          <t>Current Balance:</t>
        </is>
      </c>
      <c r="B10" s="26" t="n">
        <v>2361835</v>
      </c>
    </row>
    <row r="11">
      <c r="A11" t="inlineStr">
        <is>
          <t>Annual Rate:</t>
        </is>
      </c>
      <c r="B11" s="6" t="n">
        <v>0.0925</v>
      </c>
    </row>
    <row r="12">
      <c r="A12" t="inlineStr">
        <is>
          <t>Monthly Payment:</t>
        </is>
      </c>
      <c r="B12" s="26" t="n">
        <v>44443</v>
      </c>
    </row>
    <row r="13">
      <c r="A13" t="inlineStr">
        <is>
          <t>Loan Type:</t>
        </is>
      </c>
      <c r="B13" s="4" t="inlineStr">
        <is>
          <t>AMORTIZING</t>
        </is>
      </c>
    </row>
    <row r="15">
      <c r="A15" s="20" t="inlineStr">
        <is>
          <t>AI ANALYSIS</t>
        </is>
      </c>
    </row>
    <row r="16">
      <c r="A16" t="inlineStr">
        <is>
          <t>Classification:</t>
        </is>
      </c>
      <c r="B16" s="9" t="inlineStr">
        <is>
          <t>Standard equipment financing loan with fixed monthly payments.</t>
        </is>
      </c>
    </row>
    <row r="17">
      <c r="A17" t="inlineStr">
        <is>
          <t>Amort. Notes:</t>
        </is>
      </c>
      <c r="B17" s="9" t="inlineStr">
        <is>
          <t>Self-amortizing over term. Rate: 9.25% APR.</t>
        </is>
      </c>
    </row>
    <row r="18">
      <c r="A18" t="inlineStr">
        <is>
          <t>Source Doc:</t>
        </is>
      </c>
      <c r="B18" s="9" t="inlineStr">
        <is>
          <t>Loan 52 - data/loans.md</t>
        </is>
      </c>
    </row>
    <row r="20">
      <c r="A20" s="10" t="inlineStr">
        <is>
          <t>Month #</t>
        </is>
      </c>
      <c r="B20" s="10" t="inlineStr">
        <is>
          <t>Date</t>
        </is>
      </c>
      <c r="C20" s="10" t="inlineStr">
        <is>
          <t>Opening Balance</t>
        </is>
      </c>
      <c r="D20" s="10" t="inlineStr">
        <is>
          <t>Interest</t>
        </is>
      </c>
      <c r="E20" s="10" t="inlineStr">
        <is>
          <t>Principal</t>
        </is>
      </c>
      <c r="F20" s="10" t="inlineStr">
        <is>
          <t>Closing Balance</t>
        </is>
      </c>
      <c r="G20" s="10" t="inlineStr">
        <is>
          <t>Year</t>
        </is>
      </c>
    </row>
    <row r="21">
      <c r="A21" s="21" t="n">
        <v>1</v>
      </c>
      <c r="B21" s="33" t="n">
        <v>46023</v>
      </c>
      <c r="C21" s="13">
        <f>B10</f>
        <v/>
      </c>
      <c r="D21" s="13">
        <f>MAX(0,C21*$B11/12)</f>
        <v/>
      </c>
      <c r="E21" s="13">
        <f>MAX(0,MIN(C21,$B12-D21))</f>
        <v/>
      </c>
      <c r="F21" s="13">
        <f>MAX(0,C21-E21)</f>
        <v/>
      </c>
      <c r="G21" s="21" t="n">
        <v>2026</v>
      </c>
    </row>
    <row r="22">
      <c r="A22" s="21" t="n">
        <v>2</v>
      </c>
      <c r="B22" s="33" t="n">
        <v>46054</v>
      </c>
      <c r="C22" s="13">
        <f>F21</f>
        <v/>
      </c>
      <c r="D22" s="13">
        <f>MAX(0,C22*$B11/12)</f>
        <v/>
      </c>
      <c r="E22" s="13">
        <f>MAX(0,MIN(C22,$B12-D22))</f>
        <v/>
      </c>
      <c r="F22" s="13">
        <f>MAX(0,C22-E22)</f>
        <v/>
      </c>
      <c r="G22" s="21" t="n">
        <v>2026</v>
      </c>
    </row>
    <row r="23">
      <c r="A23" s="21" t="n">
        <v>3</v>
      </c>
      <c r="B23" s="33" t="n">
        <v>46082</v>
      </c>
      <c r="C23" s="13">
        <f>F22</f>
        <v/>
      </c>
      <c r="D23" s="13">
        <f>MAX(0,C23*$B11/12)</f>
        <v/>
      </c>
      <c r="E23" s="13">
        <f>MAX(0,MIN(C23,$B12-D23))</f>
        <v/>
      </c>
      <c r="F23" s="13">
        <f>MAX(0,C23-E23)</f>
        <v/>
      </c>
      <c r="G23" s="21" t="n">
        <v>2026</v>
      </c>
    </row>
    <row r="24">
      <c r="A24" s="21" t="n">
        <v>4</v>
      </c>
      <c r="B24" s="33" t="n">
        <v>46113</v>
      </c>
      <c r="C24" s="13">
        <f>F23</f>
        <v/>
      </c>
      <c r="D24" s="13">
        <f>MAX(0,C24*$B11/12)</f>
        <v/>
      </c>
      <c r="E24" s="13">
        <f>MAX(0,MIN(C24,$B12-D24))</f>
        <v/>
      </c>
      <c r="F24" s="13">
        <f>MAX(0,C24-E24)</f>
        <v/>
      </c>
      <c r="G24" s="21" t="n">
        <v>2026</v>
      </c>
    </row>
    <row r="25">
      <c r="A25" s="21" t="n">
        <v>5</v>
      </c>
      <c r="B25" s="33" t="n">
        <v>46143</v>
      </c>
      <c r="C25" s="13">
        <f>F24</f>
        <v/>
      </c>
      <c r="D25" s="13">
        <f>MAX(0,C25*$B11/12)</f>
        <v/>
      </c>
      <c r="E25" s="13">
        <f>MAX(0,MIN(C25,$B12-D25))</f>
        <v/>
      </c>
      <c r="F25" s="13">
        <f>MAX(0,C25-E25)</f>
        <v/>
      </c>
      <c r="G25" s="21" t="n">
        <v>2026</v>
      </c>
    </row>
    <row r="26">
      <c r="A26" s="21" t="n">
        <v>6</v>
      </c>
      <c r="B26" s="33" t="n">
        <v>46174</v>
      </c>
      <c r="C26" s="13">
        <f>F25</f>
        <v/>
      </c>
      <c r="D26" s="13">
        <f>MAX(0,C26*$B11/12)</f>
        <v/>
      </c>
      <c r="E26" s="13">
        <f>MAX(0,MIN(C26,$B12-D26))</f>
        <v/>
      </c>
      <c r="F26" s="13">
        <f>MAX(0,C26-E26)</f>
        <v/>
      </c>
      <c r="G26" s="21" t="n">
        <v>2026</v>
      </c>
    </row>
    <row r="27">
      <c r="A27" s="21" t="n">
        <v>7</v>
      </c>
      <c r="B27" s="33" t="n">
        <v>46204</v>
      </c>
      <c r="C27" s="13">
        <f>F26</f>
        <v/>
      </c>
      <c r="D27" s="13">
        <f>MAX(0,C27*$B11/12)</f>
        <v/>
      </c>
      <c r="E27" s="13">
        <f>MAX(0,MIN(C27,$B12-D27))</f>
        <v/>
      </c>
      <c r="F27" s="13">
        <f>MAX(0,C27-E27)</f>
        <v/>
      </c>
      <c r="G27" s="21" t="n">
        <v>2026</v>
      </c>
    </row>
    <row r="28">
      <c r="A28" s="21" t="n">
        <v>8</v>
      </c>
      <c r="B28" s="33" t="n">
        <v>46235</v>
      </c>
      <c r="C28" s="13">
        <f>F27</f>
        <v/>
      </c>
      <c r="D28" s="13">
        <f>MAX(0,C28*$B11/12)</f>
        <v/>
      </c>
      <c r="E28" s="13">
        <f>MAX(0,MIN(C28,$B12-D28))</f>
        <v/>
      </c>
      <c r="F28" s="13">
        <f>MAX(0,C28-E28)</f>
        <v/>
      </c>
      <c r="G28" s="21" t="n">
        <v>2026</v>
      </c>
    </row>
    <row r="29">
      <c r="A29" s="21" t="n">
        <v>9</v>
      </c>
      <c r="B29" s="33" t="n">
        <v>46266</v>
      </c>
      <c r="C29" s="13">
        <f>F28</f>
        <v/>
      </c>
      <c r="D29" s="13">
        <f>MAX(0,C29*$B11/12)</f>
        <v/>
      </c>
      <c r="E29" s="13">
        <f>MAX(0,MIN(C29,$B12-D29))</f>
        <v/>
      </c>
      <c r="F29" s="13">
        <f>MAX(0,C29-E29)</f>
        <v/>
      </c>
      <c r="G29" s="21" t="n">
        <v>2026</v>
      </c>
    </row>
    <row r="30">
      <c r="A30" s="21" t="n">
        <v>10</v>
      </c>
      <c r="B30" s="33" t="n">
        <v>46296</v>
      </c>
      <c r="C30" s="13">
        <f>F29</f>
        <v/>
      </c>
      <c r="D30" s="13">
        <f>MAX(0,C30*$B11/12)</f>
        <v/>
      </c>
      <c r="E30" s="13">
        <f>MAX(0,MIN(C30,$B12-D30))</f>
        <v/>
      </c>
      <c r="F30" s="13">
        <f>MAX(0,C30-E30)</f>
        <v/>
      </c>
      <c r="G30" s="21" t="n">
        <v>2026</v>
      </c>
    </row>
    <row r="31">
      <c r="A31" s="21" t="n">
        <v>11</v>
      </c>
      <c r="B31" s="33" t="n">
        <v>46327</v>
      </c>
      <c r="C31" s="13">
        <f>F30</f>
        <v/>
      </c>
      <c r="D31" s="13">
        <f>MAX(0,C31*$B11/12)</f>
        <v/>
      </c>
      <c r="E31" s="13">
        <f>MAX(0,MIN(C31,$B12-D31))</f>
        <v/>
      </c>
      <c r="F31" s="13">
        <f>MAX(0,C31-E31)</f>
        <v/>
      </c>
      <c r="G31" s="21" t="n">
        <v>2026</v>
      </c>
    </row>
    <row r="32">
      <c r="A32" s="21" t="n">
        <v>12</v>
      </c>
      <c r="B32" s="33" t="n">
        <v>46357</v>
      </c>
      <c r="C32" s="13">
        <f>F31</f>
        <v/>
      </c>
      <c r="D32" s="13">
        <f>MAX(0,C32*$B11/12)</f>
        <v/>
      </c>
      <c r="E32" s="13">
        <f>MAX(0,MIN(C32,$B12-D32))</f>
        <v/>
      </c>
      <c r="F32" s="13">
        <f>MAX(0,C32-E32)</f>
        <v/>
      </c>
      <c r="G32" s="21" t="n">
        <v>2026</v>
      </c>
    </row>
    <row r="33">
      <c r="A33" s="21" t="n">
        <v>13</v>
      </c>
      <c r="B33" s="33" t="n">
        <v>46388</v>
      </c>
      <c r="C33" s="13">
        <f>F32</f>
        <v/>
      </c>
      <c r="D33" s="13">
        <f>MAX(0,C33*$B11/12)</f>
        <v/>
      </c>
      <c r="E33" s="13">
        <f>MAX(0,MIN(C33,$B12-D33))</f>
        <v/>
      </c>
      <c r="F33" s="13">
        <f>MAX(0,C33-E33)</f>
        <v/>
      </c>
      <c r="G33" s="21" t="n">
        <v>2027</v>
      </c>
    </row>
    <row r="34">
      <c r="A34" s="21" t="n">
        <v>14</v>
      </c>
      <c r="B34" s="33" t="n">
        <v>46419</v>
      </c>
      <c r="C34" s="13">
        <f>F33</f>
        <v/>
      </c>
      <c r="D34" s="13">
        <f>MAX(0,C34*$B11/12)</f>
        <v/>
      </c>
      <c r="E34" s="13">
        <f>MAX(0,MIN(C34,$B12-D34))</f>
        <v/>
      </c>
      <c r="F34" s="13">
        <f>MAX(0,C34-E34)</f>
        <v/>
      </c>
      <c r="G34" s="21" t="n">
        <v>2027</v>
      </c>
    </row>
    <row r="35">
      <c r="A35" s="21" t="n">
        <v>15</v>
      </c>
      <c r="B35" s="33" t="n">
        <v>46447</v>
      </c>
      <c r="C35" s="13">
        <f>F34</f>
        <v/>
      </c>
      <c r="D35" s="13">
        <f>MAX(0,C35*$B11/12)</f>
        <v/>
      </c>
      <c r="E35" s="13">
        <f>MAX(0,MIN(C35,$B12-D35))</f>
        <v/>
      </c>
      <c r="F35" s="13">
        <f>MAX(0,C35-E35)</f>
        <v/>
      </c>
      <c r="G35" s="21" t="n">
        <v>2027</v>
      </c>
    </row>
    <row r="36">
      <c r="A36" s="21" t="n">
        <v>16</v>
      </c>
      <c r="B36" s="33" t="n">
        <v>46478</v>
      </c>
      <c r="C36" s="13">
        <f>F35</f>
        <v/>
      </c>
      <c r="D36" s="13">
        <f>MAX(0,C36*$B11/12)</f>
        <v/>
      </c>
      <c r="E36" s="13">
        <f>MAX(0,MIN(C36,$B12-D36))</f>
        <v/>
      </c>
      <c r="F36" s="13">
        <f>MAX(0,C36-E36)</f>
        <v/>
      </c>
      <c r="G36" s="21" t="n">
        <v>2027</v>
      </c>
    </row>
    <row r="37">
      <c r="A37" s="21" t="n">
        <v>17</v>
      </c>
      <c r="B37" s="33" t="n">
        <v>46508</v>
      </c>
      <c r="C37" s="13">
        <f>F36</f>
        <v/>
      </c>
      <c r="D37" s="13">
        <f>MAX(0,C37*$B11/12)</f>
        <v/>
      </c>
      <c r="E37" s="13">
        <f>MAX(0,MIN(C37,$B12-D37))</f>
        <v/>
      </c>
      <c r="F37" s="13">
        <f>MAX(0,C37-E37)</f>
        <v/>
      </c>
      <c r="G37" s="21" t="n">
        <v>2027</v>
      </c>
    </row>
    <row r="38">
      <c r="A38" s="21" t="n">
        <v>18</v>
      </c>
      <c r="B38" s="33" t="n">
        <v>46539</v>
      </c>
      <c r="C38" s="13">
        <f>F37</f>
        <v/>
      </c>
      <c r="D38" s="13">
        <f>MAX(0,C38*$B11/12)</f>
        <v/>
      </c>
      <c r="E38" s="13">
        <f>MAX(0,MIN(C38,$B12-D38))</f>
        <v/>
      </c>
      <c r="F38" s="13">
        <f>MAX(0,C38-E38)</f>
        <v/>
      </c>
      <c r="G38" s="21" t="n">
        <v>2027</v>
      </c>
    </row>
    <row r="39">
      <c r="A39" s="21" t="n">
        <v>19</v>
      </c>
      <c r="B39" s="33" t="n">
        <v>46569</v>
      </c>
      <c r="C39" s="13">
        <f>F38</f>
        <v/>
      </c>
      <c r="D39" s="13">
        <f>MAX(0,C39*$B11/12)</f>
        <v/>
      </c>
      <c r="E39" s="13">
        <f>MAX(0,MIN(C39,$B12-D39))</f>
        <v/>
      </c>
      <c r="F39" s="13">
        <f>MAX(0,C39-E39)</f>
        <v/>
      </c>
      <c r="G39" s="21" t="n">
        <v>2027</v>
      </c>
    </row>
    <row r="40">
      <c r="A40" s="21" t="n">
        <v>20</v>
      </c>
      <c r="B40" s="33" t="n">
        <v>46600</v>
      </c>
      <c r="C40" s="13">
        <f>F39</f>
        <v/>
      </c>
      <c r="D40" s="13">
        <f>MAX(0,C40*$B11/12)</f>
        <v/>
      </c>
      <c r="E40" s="13">
        <f>MAX(0,MIN(C40,$B12-D40))</f>
        <v/>
      </c>
      <c r="F40" s="13">
        <f>MAX(0,C40-E40)</f>
        <v/>
      </c>
      <c r="G40" s="21" t="n">
        <v>2027</v>
      </c>
    </row>
    <row r="41">
      <c r="A41" s="21" t="n">
        <v>21</v>
      </c>
      <c r="B41" s="33" t="n">
        <v>46631</v>
      </c>
      <c r="C41" s="13">
        <f>F40</f>
        <v/>
      </c>
      <c r="D41" s="13">
        <f>MAX(0,C41*$B11/12)</f>
        <v/>
      </c>
      <c r="E41" s="13">
        <f>MAX(0,MIN(C41,$B12-D41))</f>
        <v/>
      </c>
      <c r="F41" s="13">
        <f>MAX(0,C41-E41)</f>
        <v/>
      </c>
      <c r="G41" s="21" t="n">
        <v>2027</v>
      </c>
    </row>
    <row r="42">
      <c r="A42" s="21" t="n">
        <v>22</v>
      </c>
      <c r="B42" s="33" t="n">
        <v>46661</v>
      </c>
      <c r="C42" s="13">
        <f>F41</f>
        <v/>
      </c>
      <c r="D42" s="13">
        <f>MAX(0,C42*$B11/12)</f>
        <v/>
      </c>
      <c r="E42" s="13">
        <f>MAX(0,MIN(C42,$B12-D42))</f>
        <v/>
      </c>
      <c r="F42" s="13">
        <f>MAX(0,C42-E42)</f>
        <v/>
      </c>
      <c r="G42" s="21" t="n">
        <v>2027</v>
      </c>
    </row>
    <row r="43">
      <c r="A43" s="21" t="n">
        <v>23</v>
      </c>
      <c r="B43" s="33" t="n">
        <v>46692</v>
      </c>
      <c r="C43" s="13">
        <f>F42</f>
        <v/>
      </c>
      <c r="D43" s="13">
        <f>MAX(0,C43*$B11/12)</f>
        <v/>
      </c>
      <c r="E43" s="13">
        <f>MAX(0,MIN(C43,$B12-D43))</f>
        <v/>
      </c>
      <c r="F43" s="13">
        <f>MAX(0,C43-E43)</f>
        <v/>
      </c>
      <c r="G43" s="21" t="n">
        <v>2027</v>
      </c>
    </row>
    <row r="44">
      <c r="A44" s="21" t="n">
        <v>24</v>
      </c>
      <c r="B44" s="33" t="n">
        <v>46722</v>
      </c>
      <c r="C44" s="13">
        <f>F43</f>
        <v/>
      </c>
      <c r="D44" s="13">
        <f>MAX(0,C44*$B11/12)</f>
        <v/>
      </c>
      <c r="E44" s="13">
        <f>MAX(0,MIN(C44,$B12-D44))</f>
        <v/>
      </c>
      <c r="F44" s="13">
        <f>MAX(0,C44-E44)</f>
        <v/>
      </c>
      <c r="G44" s="21" t="n">
        <v>2027</v>
      </c>
    </row>
    <row r="45">
      <c r="A45" s="21" t="n">
        <v>25</v>
      </c>
      <c r="B45" s="33" t="n">
        <v>46753</v>
      </c>
      <c r="C45" s="13">
        <f>F44</f>
        <v/>
      </c>
      <c r="D45" s="13">
        <f>MAX(0,C45*$B11/12)</f>
        <v/>
      </c>
      <c r="E45" s="13">
        <f>MAX(0,MIN(C45,$B12-D45))</f>
        <v/>
      </c>
      <c r="F45" s="13">
        <f>MAX(0,C45-E45)</f>
        <v/>
      </c>
      <c r="G45" s="21" t="n">
        <v>2028</v>
      </c>
    </row>
    <row r="46">
      <c r="A46" s="21" t="n">
        <v>26</v>
      </c>
      <c r="B46" s="33" t="n">
        <v>46784</v>
      </c>
      <c r="C46" s="13">
        <f>F45</f>
        <v/>
      </c>
      <c r="D46" s="13">
        <f>MAX(0,C46*$B11/12)</f>
        <v/>
      </c>
      <c r="E46" s="13">
        <f>MAX(0,MIN(C46,$B12-D46))</f>
        <v/>
      </c>
      <c r="F46" s="13">
        <f>MAX(0,C46-E46)</f>
        <v/>
      </c>
      <c r="G46" s="21" t="n">
        <v>2028</v>
      </c>
    </row>
    <row r="47">
      <c r="A47" s="21" t="n">
        <v>27</v>
      </c>
      <c r="B47" s="33" t="n">
        <v>46813</v>
      </c>
      <c r="C47" s="13">
        <f>F46</f>
        <v/>
      </c>
      <c r="D47" s="13">
        <f>MAX(0,C47*$B11/12)</f>
        <v/>
      </c>
      <c r="E47" s="13">
        <f>MAX(0,MIN(C47,$B12-D47))</f>
        <v/>
      </c>
      <c r="F47" s="13">
        <f>MAX(0,C47-E47)</f>
        <v/>
      </c>
      <c r="G47" s="21" t="n">
        <v>2028</v>
      </c>
    </row>
    <row r="48">
      <c r="A48" s="21" t="n">
        <v>28</v>
      </c>
      <c r="B48" s="33" t="n">
        <v>46844</v>
      </c>
      <c r="C48" s="13">
        <f>F47</f>
        <v/>
      </c>
      <c r="D48" s="13">
        <f>MAX(0,C48*$B11/12)</f>
        <v/>
      </c>
      <c r="E48" s="13">
        <f>MAX(0,MIN(C48,$B12-D48))</f>
        <v/>
      </c>
      <c r="F48" s="13">
        <f>MAX(0,C48-E48)</f>
        <v/>
      </c>
      <c r="G48" s="21" t="n">
        <v>2028</v>
      </c>
    </row>
    <row r="49">
      <c r="A49" s="21" t="n">
        <v>29</v>
      </c>
      <c r="B49" s="33" t="n">
        <v>46874</v>
      </c>
      <c r="C49" s="13">
        <f>F48</f>
        <v/>
      </c>
      <c r="D49" s="13">
        <f>MAX(0,C49*$B11/12)</f>
        <v/>
      </c>
      <c r="E49" s="13">
        <f>MAX(0,MIN(C49,$B12-D49))</f>
        <v/>
      </c>
      <c r="F49" s="13">
        <f>MAX(0,C49-E49)</f>
        <v/>
      </c>
      <c r="G49" s="21" t="n">
        <v>2028</v>
      </c>
    </row>
    <row r="50">
      <c r="A50" s="21" t="n">
        <v>30</v>
      </c>
      <c r="B50" s="33" t="n">
        <v>46905</v>
      </c>
      <c r="C50" s="13">
        <f>F49</f>
        <v/>
      </c>
      <c r="D50" s="13">
        <f>MAX(0,C50*$B11/12)</f>
        <v/>
      </c>
      <c r="E50" s="13">
        <f>MAX(0,MIN(C50,$B12-D50))</f>
        <v/>
      </c>
      <c r="F50" s="13">
        <f>MAX(0,C50-E50)</f>
        <v/>
      </c>
      <c r="G50" s="21" t="n">
        <v>2028</v>
      </c>
    </row>
    <row r="51">
      <c r="A51" s="21" t="n">
        <v>31</v>
      </c>
      <c r="B51" s="33" t="n">
        <v>46935</v>
      </c>
      <c r="C51" s="13">
        <f>F50</f>
        <v/>
      </c>
      <c r="D51" s="13">
        <f>MAX(0,C51*$B11/12)</f>
        <v/>
      </c>
      <c r="E51" s="13">
        <f>MAX(0,MIN(C51,$B12-D51))</f>
        <v/>
      </c>
      <c r="F51" s="13">
        <f>MAX(0,C51-E51)</f>
        <v/>
      </c>
      <c r="G51" s="21" t="n">
        <v>2028</v>
      </c>
    </row>
    <row r="52">
      <c r="A52" s="21" t="n">
        <v>32</v>
      </c>
      <c r="B52" s="33" t="n">
        <v>46966</v>
      </c>
      <c r="C52" s="13">
        <f>F51</f>
        <v/>
      </c>
      <c r="D52" s="13">
        <f>MAX(0,C52*$B11/12)</f>
        <v/>
      </c>
      <c r="E52" s="13">
        <f>MAX(0,MIN(C52,$B12-D52))</f>
        <v/>
      </c>
      <c r="F52" s="13">
        <f>MAX(0,C52-E52)</f>
        <v/>
      </c>
      <c r="G52" s="21" t="n">
        <v>2028</v>
      </c>
    </row>
    <row r="53">
      <c r="A53" s="21" t="n">
        <v>33</v>
      </c>
      <c r="B53" s="33" t="n">
        <v>46997</v>
      </c>
      <c r="C53" s="13">
        <f>F52</f>
        <v/>
      </c>
      <c r="D53" s="13">
        <f>MAX(0,C53*$B11/12)</f>
        <v/>
      </c>
      <c r="E53" s="13">
        <f>MAX(0,MIN(C53,$B12-D53))</f>
        <v/>
      </c>
      <c r="F53" s="13">
        <f>MAX(0,C53-E53)</f>
        <v/>
      </c>
      <c r="G53" s="21" t="n">
        <v>2028</v>
      </c>
    </row>
    <row r="54">
      <c r="A54" s="21" t="n">
        <v>34</v>
      </c>
      <c r="B54" s="33" t="n">
        <v>47027</v>
      </c>
      <c r="C54" s="13">
        <f>F53</f>
        <v/>
      </c>
      <c r="D54" s="13">
        <f>MAX(0,C54*$B11/12)</f>
        <v/>
      </c>
      <c r="E54" s="13">
        <f>MAX(0,MIN(C54,$B12-D54))</f>
        <v/>
      </c>
      <c r="F54" s="13">
        <f>MAX(0,C54-E54)</f>
        <v/>
      </c>
      <c r="G54" s="21" t="n">
        <v>2028</v>
      </c>
    </row>
    <row r="55">
      <c r="A55" s="21" t="n">
        <v>35</v>
      </c>
      <c r="B55" s="33" t="n">
        <v>47058</v>
      </c>
      <c r="C55" s="13">
        <f>F54</f>
        <v/>
      </c>
      <c r="D55" s="13">
        <f>MAX(0,C55*$B11/12)</f>
        <v/>
      </c>
      <c r="E55" s="13">
        <f>MAX(0,MIN(C55,$B12-D55))</f>
        <v/>
      </c>
      <c r="F55" s="13">
        <f>MAX(0,C55-E55)</f>
        <v/>
      </c>
      <c r="G55" s="21" t="n">
        <v>2028</v>
      </c>
    </row>
    <row r="56">
      <c r="A56" s="21" t="n">
        <v>36</v>
      </c>
      <c r="B56" s="33" t="n">
        <v>47088</v>
      </c>
      <c r="C56" s="13">
        <f>F55</f>
        <v/>
      </c>
      <c r="D56" s="13">
        <f>MAX(0,C56*$B11/12)</f>
        <v/>
      </c>
      <c r="E56" s="13">
        <f>MAX(0,MIN(C56,$B12-D56))</f>
        <v/>
      </c>
      <c r="F56" s="13">
        <f>MAX(0,C56-E56)</f>
        <v/>
      </c>
      <c r="G56" s="21" t="n">
        <v>2028</v>
      </c>
    </row>
    <row r="57">
      <c r="A57" s="21" t="n">
        <v>37</v>
      </c>
      <c r="B57" s="33" t="n">
        <v>47119</v>
      </c>
      <c r="C57" s="13">
        <f>F56</f>
        <v/>
      </c>
      <c r="D57" s="13">
        <f>MAX(0,C57*$B11/12)</f>
        <v/>
      </c>
      <c r="E57" s="13">
        <f>MAX(0,MIN(C57,$B12-D57))</f>
        <v/>
      </c>
      <c r="F57" s="13">
        <f>MAX(0,C57-E57)</f>
        <v/>
      </c>
      <c r="G57" s="21" t="n">
        <v>2029</v>
      </c>
    </row>
    <row r="58">
      <c r="A58" s="21" t="n">
        <v>38</v>
      </c>
      <c r="B58" s="33" t="n">
        <v>47150</v>
      </c>
      <c r="C58" s="13">
        <f>F57</f>
        <v/>
      </c>
      <c r="D58" s="13">
        <f>MAX(0,C58*$B11/12)</f>
        <v/>
      </c>
      <c r="E58" s="13">
        <f>MAX(0,MIN(C58,$B12-D58))</f>
        <v/>
      </c>
      <c r="F58" s="13">
        <f>MAX(0,C58-E58)</f>
        <v/>
      </c>
      <c r="G58" s="21" t="n">
        <v>2029</v>
      </c>
    </row>
    <row r="59">
      <c r="A59" s="21" t="n">
        <v>39</v>
      </c>
      <c r="B59" s="33" t="n">
        <v>47178</v>
      </c>
      <c r="C59" s="13">
        <f>F58</f>
        <v/>
      </c>
      <c r="D59" s="13">
        <f>MAX(0,C59*$B11/12)</f>
        <v/>
      </c>
      <c r="E59" s="13">
        <f>MAX(0,MIN(C59,$B12-D59))</f>
        <v/>
      </c>
      <c r="F59" s="13">
        <f>MAX(0,C59-E59)</f>
        <v/>
      </c>
      <c r="G59" s="21" t="n">
        <v>2029</v>
      </c>
    </row>
    <row r="60">
      <c r="A60" s="21" t="n">
        <v>40</v>
      </c>
      <c r="B60" s="33" t="n">
        <v>47209</v>
      </c>
      <c r="C60" s="13">
        <f>F59</f>
        <v/>
      </c>
      <c r="D60" s="13">
        <f>MAX(0,C60*$B11/12)</f>
        <v/>
      </c>
      <c r="E60" s="13">
        <f>MAX(0,MIN(C60,$B12-D60))</f>
        <v/>
      </c>
      <c r="F60" s="13">
        <f>MAX(0,C60-E60)</f>
        <v/>
      </c>
      <c r="G60" s="21" t="n">
        <v>2029</v>
      </c>
    </row>
    <row r="61">
      <c r="A61" s="21" t="n">
        <v>41</v>
      </c>
      <c r="B61" s="33" t="n">
        <v>47239</v>
      </c>
      <c r="C61" s="13">
        <f>F60</f>
        <v/>
      </c>
      <c r="D61" s="13">
        <f>MAX(0,C61*$B11/12)</f>
        <v/>
      </c>
      <c r="E61" s="13">
        <f>MAX(0,MIN(C61,$B12-D61))</f>
        <v/>
      </c>
      <c r="F61" s="13">
        <f>MAX(0,C61-E61)</f>
        <v/>
      </c>
      <c r="G61" s="21" t="n">
        <v>2029</v>
      </c>
    </row>
    <row r="62">
      <c r="A62" s="21" t="n">
        <v>42</v>
      </c>
      <c r="B62" s="33" t="n">
        <v>47270</v>
      </c>
      <c r="C62" s="13">
        <f>F61</f>
        <v/>
      </c>
      <c r="D62" s="13">
        <f>MAX(0,C62*$B11/12)</f>
        <v/>
      </c>
      <c r="E62" s="13">
        <f>MAX(0,MIN(C62,$B12-D62))</f>
        <v/>
      </c>
      <c r="F62" s="13">
        <f>MAX(0,C62-E62)</f>
        <v/>
      </c>
      <c r="G62" s="21" t="n">
        <v>2029</v>
      </c>
    </row>
    <row r="63">
      <c r="A63" s="21" t="n">
        <v>43</v>
      </c>
      <c r="B63" s="33" t="n">
        <v>47300</v>
      </c>
      <c r="C63" s="13">
        <f>F62</f>
        <v/>
      </c>
      <c r="D63" s="13">
        <f>MAX(0,C63*$B11/12)</f>
        <v/>
      </c>
      <c r="E63" s="13">
        <f>MAX(0,MIN(C63,$B12-D63))</f>
        <v/>
      </c>
      <c r="F63" s="13">
        <f>MAX(0,C63-E63)</f>
        <v/>
      </c>
      <c r="G63" s="21" t="n">
        <v>2029</v>
      </c>
    </row>
    <row r="64">
      <c r="A64" s="21" t="n">
        <v>44</v>
      </c>
      <c r="B64" s="33" t="n">
        <v>47331</v>
      </c>
      <c r="C64" s="13">
        <f>F63</f>
        <v/>
      </c>
      <c r="D64" s="13">
        <f>MAX(0,C64*$B11/12)</f>
        <v/>
      </c>
      <c r="E64" s="13">
        <f>MAX(0,MIN(C64,$B12-D64))</f>
        <v/>
      </c>
      <c r="F64" s="13">
        <f>MAX(0,C64-E64)</f>
        <v/>
      </c>
      <c r="G64" s="21" t="n">
        <v>2029</v>
      </c>
    </row>
    <row r="65">
      <c r="A65" s="21" t="n">
        <v>45</v>
      </c>
      <c r="B65" s="33" t="n">
        <v>47362</v>
      </c>
      <c r="C65" s="13">
        <f>F64</f>
        <v/>
      </c>
      <c r="D65" s="13">
        <f>MAX(0,C65*$B11/12)</f>
        <v/>
      </c>
      <c r="E65" s="13">
        <f>MAX(0,MIN(C65,$B12-D65))</f>
        <v/>
      </c>
      <c r="F65" s="13">
        <f>MAX(0,C65-E65)</f>
        <v/>
      </c>
      <c r="G65" s="21" t="n">
        <v>2029</v>
      </c>
    </row>
    <row r="66">
      <c r="A66" s="21" t="n">
        <v>46</v>
      </c>
      <c r="B66" s="33" t="n">
        <v>47392</v>
      </c>
      <c r="C66" s="13">
        <f>F65</f>
        <v/>
      </c>
      <c r="D66" s="13">
        <f>MAX(0,C66*$B11/12)</f>
        <v/>
      </c>
      <c r="E66" s="13">
        <f>MAX(0,MIN(C66,$B12-D66))</f>
        <v/>
      </c>
      <c r="F66" s="13">
        <f>MAX(0,C66-E66)</f>
        <v/>
      </c>
      <c r="G66" s="21" t="n">
        <v>2029</v>
      </c>
    </row>
    <row r="67">
      <c r="A67" s="21" t="n">
        <v>47</v>
      </c>
      <c r="B67" s="33" t="n">
        <v>47423</v>
      </c>
      <c r="C67" s="13">
        <f>F66</f>
        <v/>
      </c>
      <c r="D67" s="13">
        <f>MAX(0,C67*$B11/12)</f>
        <v/>
      </c>
      <c r="E67" s="13">
        <f>MAX(0,MIN(C67,$B12-D67))</f>
        <v/>
      </c>
      <c r="F67" s="13">
        <f>MAX(0,C67-E67)</f>
        <v/>
      </c>
      <c r="G67" s="21" t="n">
        <v>2029</v>
      </c>
    </row>
    <row r="68">
      <c r="A68" s="21" t="n">
        <v>48</v>
      </c>
      <c r="B68" s="33" t="n">
        <v>47453</v>
      </c>
      <c r="C68" s="13">
        <f>F67</f>
        <v/>
      </c>
      <c r="D68" s="13">
        <f>MAX(0,C68*$B11/12)</f>
        <v/>
      </c>
      <c r="E68" s="13">
        <f>MAX(0,MIN(C68,$B12-D68))</f>
        <v/>
      </c>
      <c r="F68" s="13">
        <f>MAX(0,C68-E68)</f>
        <v/>
      </c>
      <c r="G68" s="21" t="n">
        <v>2029</v>
      </c>
    </row>
    <row r="69">
      <c r="A69" s="21" t="n">
        <v>49</v>
      </c>
      <c r="B69" s="33" t="n">
        <v>47484</v>
      </c>
      <c r="C69" s="13">
        <f>F68</f>
        <v/>
      </c>
      <c r="D69" s="13">
        <f>MAX(0,C69*$B11/12)</f>
        <v/>
      </c>
      <c r="E69" s="13">
        <f>MAX(0,MIN(C69,$B12-D69))</f>
        <v/>
      </c>
      <c r="F69" s="13">
        <f>MAX(0,C69-E69)</f>
        <v/>
      </c>
      <c r="G69" s="21" t="n">
        <v>2030</v>
      </c>
    </row>
    <row r="70">
      <c r="A70" s="21" t="n">
        <v>50</v>
      </c>
      <c r="B70" s="33" t="n">
        <v>47515</v>
      </c>
      <c r="C70" s="13">
        <f>F69</f>
        <v/>
      </c>
      <c r="D70" s="13">
        <f>MAX(0,C70*$B11/12)</f>
        <v/>
      </c>
      <c r="E70" s="13">
        <f>MAX(0,MIN(C70,$B12-D70))</f>
        <v/>
      </c>
      <c r="F70" s="13">
        <f>MAX(0,C70-E70)</f>
        <v/>
      </c>
      <c r="G70" s="21" t="n">
        <v>2030</v>
      </c>
    </row>
    <row r="71">
      <c r="A71" s="21" t="n">
        <v>51</v>
      </c>
      <c r="B71" s="33" t="n">
        <v>47543</v>
      </c>
      <c r="C71" s="13">
        <f>F70</f>
        <v/>
      </c>
      <c r="D71" s="13">
        <f>MAX(0,C71*$B11/12)</f>
        <v/>
      </c>
      <c r="E71" s="13">
        <f>MAX(0,MIN(C71,$B12-D71))</f>
        <v/>
      </c>
      <c r="F71" s="13">
        <f>MAX(0,C71-E71)</f>
        <v/>
      </c>
      <c r="G71" s="21" t="n">
        <v>2030</v>
      </c>
    </row>
    <row r="72">
      <c r="A72" s="21" t="n">
        <v>52</v>
      </c>
      <c r="B72" s="33" t="n">
        <v>47574</v>
      </c>
      <c r="C72" s="13">
        <f>F71</f>
        <v/>
      </c>
      <c r="D72" s="13">
        <f>MAX(0,C72*$B11/12)</f>
        <v/>
      </c>
      <c r="E72" s="13">
        <f>MAX(0,MIN(C72,$B12-D72))</f>
        <v/>
      </c>
      <c r="F72" s="13">
        <f>MAX(0,C72-E72)</f>
        <v/>
      </c>
      <c r="G72" s="21" t="n">
        <v>2030</v>
      </c>
    </row>
    <row r="73">
      <c r="A73" s="21" t="n">
        <v>53</v>
      </c>
      <c r="B73" s="33" t="n">
        <v>47604</v>
      </c>
      <c r="C73" s="13">
        <f>F72</f>
        <v/>
      </c>
      <c r="D73" s="13">
        <f>MAX(0,C73*$B11/12)</f>
        <v/>
      </c>
      <c r="E73" s="13">
        <f>MAX(0,MIN(C73,$B12-D73))</f>
        <v/>
      </c>
      <c r="F73" s="13">
        <f>MAX(0,C73-E73)</f>
        <v/>
      </c>
      <c r="G73" s="21" t="n">
        <v>2030</v>
      </c>
    </row>
    <row r="74">
      <c r="A74" s="21" t="n">
        <v>54</v>
      </c>
      <c r="B74" s="33" t="n">
        <v>47635</v>
      </c>
      <c r="C74" s="13">
        <f>F73</f>
        <v/>
      </c>
      <c r="D74" s="13">
        <f>MAX(0,C74*$B11/12)</f>
        <v/>
      </c>
      <c r="E74" s="13">
        <f>MAX(0,MIN(C74,$B12-D74))</f>
        <v/>
      </c>
      <c r="F74" s="13">
        <f>MAX(0,C74-E74)</f>
        <v/>
      </c>
      <c r="G74" s="21" t="n">
        <v>2030</v>
      </c>
    </row>
    <row r="75">
      <c r="A75" s="21" t="n">
        <v>55</v>
      </c>
      <c r="B75" s="33" t="n">
        <v>47665</v>
      </c>
      <c r="C75" s="13">
        <f>F74</f>
        <v/>
      </c>
      <c r="D75" s="13">
        <f>MAX(0,C75*$B11/12)</f>
        <v/>
      </c>
      <c r="E75" s="13">
        <f>MAX(0,MIN(C75,$B12-D75))</f>
        <v/>
      </c>
      <c r="F75" s="13">
        <f>MAX(0,C75-E75)</f>
        <v/>
      </c>
      <c r="G75" s="21" t="n">
        <v>2030</v>
      </c>
    </row>
    <row r="76">
      <c r="A76" s="21" t="n">
        <v>56</v>
      </c>
      <c r="B76" s="33" t="n">
        <v>47696</v>
      </c>
      <c r="C76" s="13">
        <f>F75</f>
        <v/>
      </c>
      <c r="D76" s="13">
        <f>MAX(0,C76*$B11/12)</f>
        <v/>
      </c>
      <c r="E76" s="13">
        <f>MAX(0,MIN(C76,$B12-D76))</f>
        <v/>
      </c>
      <c r="F76" s="13">
        <f>MAX(0,C76-E76)</f>
        <v/>
      </c>
      <c r="G76" s="21" t="n">
        <v>2030</v>
      </c>
    </row>
    <row r="77">
      <c r="A77" s="21" t="n">
        <v>57</v>
      </c>
      <c r="B77" s="33" t="n">
        <v>47727</v>
      </c>
      <c r="C77" s="13">
        <f>F76</f>
        <v/>
      </c>
      <c r="D77" s="13">
        <f>MAX(0,C77*$B11/12)</f>
        <v/>
      </c>
      <c r="E77" s="13">
        <f>MAX(0,MIN(C77,$B12-D77))</f>
        <v/>
      </c>
      <c r="F77" s="13">
        <f>MAX(0,C77-E77)</f>
        <v/>
      </c>
      <c r="G77" s="21" t="n">
        <v>2030</v>
      </c>
    </row>
    <row r="78">
      <c r="A78" s="21" t="n">
        <v>58</v>
      </c>
      <c r="B78" s="33" t="n">
        <v>47757</v>
      </c>
      <c r="C78" s="13">
        <f>F77</f>
        <v/>
      </c>
      <c r="D78" s="13">
        <f>MAX(0,C78*$B11/12)</f>
        <v/>
      </c>
      <c r="E78" s="13">
        <f>MAX(0,MIN(C78,$B12-D78))</f>
        <v/>
      </c>
      <c r="F78" s="13">
        <f>MAX(0,C78-E78)</f>
        <v/>
      </c>
      <c r="G78" s="21" t="n">
        <v>2030</v>
      </c>
    </row>
    <row r="79">
      <c r="A79" s="21" t="n">
        <v>59</v>
      </c>
      <c r="B79" s="33" t="n">
        <v>47788</v>
      </c>
      <c r="C79" s="13">
        <f>F78</f>
        <v/>
      </c>
      <c r="D79" s="13">
        <f>MAX(0,C79*$B11/12)</f>
        <v/>
      </c>
      <c r="E79" s="13">
        <f>MAX(0,MIN(C79,$B12-D79))</f>
        <v/>
      </c>
      <c r="F79" s="13">
        <f>MAX(0,C79-E79)</f>
        <v/>
      </c>
      <c r="G79" s="21" t="n">
        <v>2030</v>
      </c>
    </row>
    <row r="80">
      <c r="A80" s="21" t="n">
        <v>60</v>
      </c>
      <c r="B80" s="33" t="n">
        <v>47818</v>
      </c>
      <c r="C80" s="13">
        <f>F79</f>
        <v/>
      </c>
      <c r="D80" s="13">
        <f>MAX(0,C80*$B11/12)</f>
        <v/>
      </c>
      <c r="E80" s="13">
        <f>MAX(0,MIN(C80,$B12-D80))</f>
        <v/>
      </c>
      <c r="F80" s="13">
        <f>MAX(0,C80-E80)</f>
        <v/>
      </c>
      <c r="G80" s="21" t="n">
        <v>2030</v>
      </c>
    </row>
    <row r="81">
      <c r="A81" s="21" t="n">
        <v>61</v>
      </c>
      <c r="B81" s="33" t="n">
        <v>47849</v>
      </c>
      <c r="C81" s="13">
        <f>F80</f>
        <v/>
      </c>
      <c r="D81" s="13">
        <f>MAX(0,C81*$B11/12)</f>
        <v/>
      </c>
      <c r="E81" s="13">
        <f>MAX(0,MIN(C81,$B12-D81))</f>
        <v/>
      </c>
      <c r="F81" s="13">
        <f>MAX(0,C81-E81)</f>
        <v/>
      </c>
      <c r="G81" s="21" t="n">
        <v>2031</v>
      </c>
    </row>
    <row r="82">
      <c r="A82" s="21" t="n">
        <v>62</v>
      </c>
      <c r="B82" s="33" t="n">
        <v>47880</v>
      </c>
      <c r="C82" s="13">
        <f>F81</f>
        <v/>
      </c>
      <c r="D82" s="13">
        <f>MAX(0,C82*$B11/12)</f>
        <v/>
      </c>
      <c r="E82" s="13">
        <f>MAX(0,MIN(C82,$B12-D82))</f>
        <v/>
      </c>
      <c r="F82" s="13">
        <f>MAX(0,C82-E82)</f>
        <v/>
      </c>
      <c r="G82" s="21" t="n">
        <v>2031</v>
      </c>
    </row>
    <row r="83">
      <c r="A83" s="21" t="n">
        <v>63</v>
      </c>
      <c r="B83" s="33" t="n">
        <v>47908</v>
      </c>
      <c r="C83" s="13">
        <f>F82</f>
        <v/>
      </c>
      <c r="D83" s="13">
        <f>MAX(0,C83*$B11/12)</f>
        <v/>
      </c>
      <c r="E83" s="13">
        <f>MAX(0,MIN(C83,$B12-D83))</f>
        <v/>
      </c>
      <c r="F83" s="13">
        <f>MAX(0,C83-E83)</f>
        <v/>
      </c>
      <c r="G83" s="21" t="n">
        <v>2031</v>
      </c>
    </row>
    <row r="84">
      <c r="A84" s="21" t="n">
        <v>64</v>
      </c>
      <c r="B84" s="33" t="n">
        <v>47939</v>
      </c>
      <c r="C84" s="13">
        <f>F83</f>
        <v/>
      </c>
      <c r="D84" s="13">
        <f>MAX(0,C84*$B11/12)</f>
        <v/>
      </c>
      <c r="E84" s="13">
        <f>MAX(0,MIN(C84,$B12-D84))</f>
        <v/>
      </c>
      <c r="F84" s="13">
        <f>MAX(0,C84-E84)</f>
        <v/>
      </c>
      <c r="G84" s="21" t="n">
        <v>2031</v>
      </c>
    </row>
    <row r="85">
      <c r="A85" s="21" t="n">
        <v>65</v>
      </c>
      <c r="B85" s="33" t="n">
        <v>47969</v>
      </c>
      <c r="C85" s="13">
        <f>F84</f>
        <v/>
      </c>
      <c r="D85" s="13">
        <f>MAX(0,C85*$B11/12)</f>
        <v/>
      </c>
      <c r="E85" s="13">
        <f>MAX(0,MIN(C85,$B12-D85))</f>
        <v/>
      </c>
      <c r="F85" s="13">
        <f>MAX(0,C85-E85)</f>
        <v/>
      </c>
      <c r="G85" s="21" t="n">
        <v>2031</v>
      </c>
    </row>
    <row r="86">
      <c r="A86" s="21" t="n">
        <v>66</v>
      </c>
      <c r="B86" s="33" t="n">
        <v>48000</v>
      </c>
      <c r="C86" s="13">
        <f>F85</f>
        <v/>
      </c>
      <c r="D86" s="13">
        <f>MAX(0,C86*$B11/12)</f>
        <v/>
      </c>
      <c r="E86" s="13">
        <f>MAX(0,MIN(C86,$B12-D86))</f>
        <v/>
      </c>
      <c r="F86" s="13">
        <f>MAX(0,C86-E86)</f>
        <v/>
      </c>
      <c r="G86" s="21" t="n">
        <v>2031</v>
      </c>
    </row>
    <row r="87">
      <c r="A87" s="21" t="n">
        <v>67</v>
      </c>
      <c r="B87" s="33" t="n">
        <v>48030</v>
      </c>
      <c r="C87" s="13">
        <f>F86</f>
        <v/>
      </c>
      <c r="D87" s="13">
        <f>MAX(0,C87*$B11/12)</f>
        <v/>
      </c>
      <c r="E87" s="13">
        <f>MAX(0,MIN(C87,$B12-D87))</f>
        <v/>
      </c>
      <c r="F87" s="13">
        <f>MAX(0,C87-E87)</f>
        <v/>
      </c>
      <c r="G87" s="21" t="n">
        <v>2031</v>
      </c>
    </row>
    <row r="88">
      <c r="A88" s="21" t="n">
        <v>68</v>
      </c>
      <c r="B88" s="33" t="n">
        <v>48061</v>
      </c>
      <c r="C88" s="13">
        <f>F87</f>
        <v/>
      </c>
      <c r="D88" s="13">
        <f>MAX(0,C88*$B11/12)</f>
        <v/>
      </c>
      <c r="E88" s="13">
        <f>MAX(0,MIN(C88,$B12-D88))</f>
        <v/>
      </c>
      <c r="F88" s="13">
        <f>MAX(0,C88-E88)</f>
        <v/>
      </c>
      <c r="G88" s="21" t="n">
        <v>2031</v>
      </c>
    </row>
    <row r="89">
      <c r="A89" s="21" t="n">
        <v>69</v>
      </c>
      <c r="B89" s="33" t="n">
        <v>48092</v>
      </c>
      <c r="C89" s="13">
        <f>F88</f>
        <v/>
      </c>
      <c r="D89" s="13">
        <f>MAX(0,C89*$B11/12)</f>
        <v/>
      </c>
      <c r="E89" s="13">
        <f>MAX(0,MIN(C89,$B12-D89))</f>
        <v/>
      </c>
      <c r="F89" s="13">
        <f>MAX(0,C89-E89)</f>
        <v/>
      </c>
      <c r="G89" s="21" t="n">
        <v>2031</v>
      </c>
    </row>
    <row r="92">
      <c r="A92" s="2" t="inlineStr">
        <is>
          <t>ANNUAL SUMMARY</t>
        </is>
      </c>
    </row>
    <row r="93">
      <c r="A93" s="30" t="inlineStr">
        <is>
          <t>Year</t>
        </is>
      </c>
      <c r="B93" s="30" t="inlineStr">
        <is>
          <t>Opening Balance</t>
        </is>
      </c>
      <c r="C93" s="30" t="inlineStr">
        <is>
          <t>Total Interest</t>
        </is>
      </c>
      <c r="D93" s="30" t="inlineStr">
        <is>
          <t>Total Principal</t>
        </is>
      </c>
      <c r="E93" s="30" t="inlineStr">
        <is>
          <t>Closing Balance</t>
        </is>
      </c>
      <c r="F93" s="30" t="inlineStr"/>
    </row>
    <row r="94">
      <c r="A94" s="21" t="n">
        <v>2026</v>
      </c>
      <c r="B94" s="13">
        <f>C21</f>
        <v/>
      </c>
      <c r="C94" s="13">
        <f>SUM(D21:D32)</f>
        <v/>
      </c>
      <c r="D94" s="13">
        <f>SUM(E21:E32)</f>
        <v/>
      </c>
      <c r="E94" s="13">
        <f>F32</f>
        <v/>
      </c>
    </row>
    <row r="95">
      <c r="A95" s="21" t="n">
        <v>2027</v>
      </c>
      <c r="B95" s="13">
        <f>C33</f>
        <v/>
      </c>
      <c r="C95" s="13">
        <f>SUM(D33:D44)</f>
        <v/>
      </c>
      <c r="D95" s="13">
        <f>SUM(E33:E44)</f>
        <v/>
      </c>
      <c r="E95" s="13">
        <f>F44</f>
        <v/>
      </c>
    </row>
    <row r="96">
      <c r="A96" s="21" t="n">
        <v>2028</v>
      </c>
      <c r="B96" s="13">
        <f>C45</f>
        <v/>
      </c>
      <c r="C96" s="13">
        <f>SUM(D45:D56)</f>
        <v/>
      </c>
      <c r="D96" s="13">
        <f>SUM(E45:E56)</f>
        <v/>
      </c>
      <c r="E96" s="13">
        <f>F56</f>
        <v/>
      </c>
    </row>
    <row r="99">
      <c r="A99" s="1" t="inlineStr">
        <is>
          <t>Current Balance (12/31/2025):</t>
        </is>
      </c>
      <c r="B99" s="26">
        <f>B10</f>
        <v/>
      </c>
    </row>
  </sheetData>
  <mergeCells count="3">
    <mergeCell ref="A1:C1"/>
    <mergeCell ref="A92:F92"/>
    <mergeCell ref="A15:C15"/>
  </mergeCells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Financial Model - Hidden Loan Sheets</t>
        </is>
      </c>
    </row>
  </sheetData>
  <pageMargins left="0.75" right="0.75" top="1" bottom="1" header="0.5" footer="0.5"/>
</worksheet>
</file>

<file path=xl/worksheets/sheet40.xml><?xml version="1.0" encoding="utf-8"?>
<worksheet xmlns="http://schemas.openxmlformats.org/spreadsheetml/2006/main">
  <sheetPr>
    <tabColor rgb="00808080"/>
    <outlinePr summaryBelow="1" summaryRight="1"/>
    <pageSetUpPr/>
  </sheetPr>
  <dimension ref="A1:G62"/>
  <sheetViews>
    <sheetView workbookViewId="0">
      <selection activeCell="A1" sqref="A1"/>
    </sheetView>
  </sheetViews>
  <sheetFormatPr baseColWidth="8" defaultRowHeight="15"/>
  <cols>
    <col width="14" customWidth="1" min="1" max="1"/>
    <col width="20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>
      <c r="A1" s="2" t="inlineStr">
        <is>
          <t>LOAN DETAILS</t>
        </is>
      </c>
    </row>
    <row r="2">
      <c r="A2" t="inlineStr">
        <is>
          <t>Lender:</t>
        </is>
      </c>
      <c r="B2" s="4" t="inlineStr">
        <is>
          <t>FPG</t>
        </is>
      </c>
    </row>
    <row r="3">
      <c r="A3" t="inlineStr">
        <is>
          <t>Loan ID:</t>
        </is>
      </c>
      <c r="B3" s="4" t="inlineStr">
        <is>
          <t>07-2910-000-104-00</t>
        </is>
      </c>
    </row>
    <row r="4">
      <c r="A4" t="inlineStr">
        <is>
          <t>Loan Number:</t>
        </is>
      </c>
      <c r="B4" s="4" t="inlineStr">
        <is>
          <t>2084454</t>
        </is>
      </c>
    </row>
    <row r="5">
      <c r="A5" t="inlineStr">
        <is>
          <t>Description:</t>
        </is>
      </c>
      <c r="B5" s="4" t="inlineStr">
        <is>
          <t>Houston WHS Container Forklift</t>
        </is>
      </c>
    </row>
    <row r="6">
      <c r="A6" t="inlineStr">
        <is>
          <t>Collateral:</t>
        </is>
      </c>
      <c r="B6" s="4" t="inlineStr">
        <is>
          <t>Equipment - Forklift</t>
        </is>
      </c>
    </row>
    <row r="7">
      <c r="A7" t="inlineStr">
        <is>
          <t>Origination:</t>
        </is>
      </c>
      <c r="B7" s="4" t="inlineStr">
        <is>
          <t>08/16/2025</t>
        </is>
      </c>
    </row>
    <row r="8">
      <c r="A8" t="inlineStr">
        <is>
          <t>Maturity:</t>
        </is>
      </c>
      <c r="B8" s="4" t="inlineStr">
        <is>
          <t>08/01/2028</t>
        </is>
      </c>
    </row>
    <row r="9">
      <c r="A9" t="inlineStr">
        <is>
          <t>Original Balance:</t>
        </is>
      </c>
      <c r="B9" s="26" t="n">
        <v>31948.58</v>
      </c>
    </row>
    <row r="10">
      <c r="A10" t="inlineStr">
        <is>
          <t>Current Balance:</t>
        </is>
      </c>
      <c r="B10" s="26" t="n">
        <v>28876</v>
      </c>
    </row>
    <row r="11">
      <c r="A11" t="inlineStr">
        <is>
          <t>Annual Rate:</t>
        </is>
      </c>
      <c r="B11" s="6" t="n">
        <v>0.1223</v>
      </c>
    </row>
    <row r="12">
      <c r="A12" t="inlineStr">
        <is>
          <t>Monthly Payment:</t>
        </is>
      </c>
      <c r="B12" s="26" t="n">
        <v>1065</v>
      </c>
    </row>
    <row r="13">
      <c r="A13" t="inlineStr">
        <is>
          <t>Loan Type:</t>
        </is>
      </c>
      <c r="B13" s="4" t="inlineStr">
        <is>
          <t>AMORTIZING</t>
        </is>
      </c>
    </row>
    <row r="15">
      <c r="A15" s="20" t="inlineStr">
        <is>
          <t>AI ANALYSIS</t>
        </is>
      </c>
    </row>
    <row r="16">
      <c r="A16" t="inlineStr">
        <is>
          <t>Classification:</t>
        </is>
      </c>
      <c r="B16" s="9" t="inlineStr">
        <is>
          <t>Standard equipment financing loan with fixed monthly payments.</t>
        </is>
      </c>
    </row>
    <row r="17">
      <c r="A17" t="inlineStr">
        <is>
          <t>Amort. Notes:</t>
        </is>
      </c>
      <c r="B17" s="9" t="inlineStr">
        <is>
          <t>Self-amortizing over term. Rate: 12.23% APR.</t>
        </is>
      </c>
    </row>
    <row r="18">
      <c r="A18" t="inlineStr">
        <is>
          <t>Source Doc:</t>
        </is>
      </c>
      <c r="B18" s="9" t="inlineStr">
        <is>
          <t>Loan 56 - data/loans.md</t>
        </is>
      </c>
    </row>
    <row r="20">
      <c r="A20" s="10" t="inlineStr">
        <is>
          <t>Month #</t>
        </is>
      </c>
      <c r="B20" s="10" t="inlineStr">
        <is>
          <t>Date</t>
        </is>
      </c>
      <c r="C20" s="10" t="inlineStr">
        <is>
          <t>Opening Balance</t>
        </is>
      </c>
      <c r="D20" s="10" t="inlineStr">
        <is>
          <t>Interest</t>
        </is>
      </c>
      <c r="E20" s="10" t="inlineStr">
        <is>
          <t>Principal</t>
        </is>
      </c>
      <c r="F20" s="10" t="inlineStr">
        <is>
          <t>Closing Balance</t>
        </is>
      </c>
      <c r="G20" s="10" t="inlineStr">
        <is>
          <t>Year</t>
        </is>
      </c>
    </row>
    <row r="21">
      <c r="A21" s="21" t="n">
        <v>1</v>
      </c>
      <c r="B21" s="33" t="n">
        <v>46023</v>
      </c>
      <c r="C21" s="13">
        <f>B10</f>
        <v/>
      </c>
      <c r="D21" s="13">
        <f>MAX(0,C21*$B11/12)</f>
        <v/>
      </c>
      <c r="E21" s="13">
        <f>MAX(0,MIN(C21,$B12-D21))</f>
        <v/>
      </c>
      <c r="F21" s="13">
        <f>MAX(0,C21-E21)</f>
        <v/>
      </c>
      <c r="G21" s="21" t="n">
        <v>2026</v>
      </c>
    </row>
    <row r="22">
      <c r="A22" s="21" t="n">
        <v>2</v>
      </c>
      <c r="B22" s="33" t="n">
        <v>46054</v>
      </c>
      <c r="C22" s="13">
        <f>F21</f>
        <v/>
      </c>
      <c r="D22" s="13">
        <f>MAX(0,C22*$B11/12)</f>
        <v/>
      </c>
      <c r="E22" s="13">
        <f>MAX(0,MIN(C22,$B12-D22))</f>
        <v/>
      </c>
      <c r="F22" s="13">
        <f>MAX(0,C22-E22)</f>
        <v/>
      </c>
      <c r="G22" s="21" t="n">
        <v>2026</v>
      </c>
    </row>
    <row r="23">
      <c r="A23" s="21" t="n">
        <v>3</v>
      </c>
      <c r="B23" s="33" t="n">
        <v>46082</v>
      </c>
      <c r="C23" s="13">
        <f>F22</f>
        <v/>
      </c>
      <c r="D23" s="13">
        <f>MAX(0,C23*$B11/12)</f>
        <v/>
      </c>
      <c r="E23" s="13">
        <f>MAX(0,MIN(C23,$B12-D23))</f>
        <v/>
      </c>
      <c r="F23" s="13">
        <f>MAX(0,C23-E23)</f>
        <v/>
      </c>
      <c r="G23" s="21" t="n">
        <v>2026</v>
      </c>
    </row>
    <row r="24">
      <c r="A24" s="21" t="n">
        <v>4</v>
      </c>
      <c r="B24" s="33" t="n">
        <v>46113</v>
      </c>
      <c r="C24" s="13">
        <f>F23</f>
        <v/>
      </c>
      <c r="D24" s="13">
        <f>MAX(0,C24*$B11/12)</f>
        <v/>
      </c>
      <c r="E24" s="13">
        <f>MAX(0,MIN(C24,$B12-D24))</f>
        <v/>
      </c>
      <c r="F24" s="13">
        <f>MAX(0,C24-E24)</f>
        <v/>
      </c>
      <c r="G24" s="21" t="n">
        <v>2026</v>
      </c>
    </row>
    <row r="25">
      <c r="A25" s="21" t="n">
        <v>5</v>
      </c>
      <c r="B25" s="33" t="n">
        <v>46143</v>
      </c>
      <c r="C25" s="13">
        <f>F24</f>
        <v/>
      </c>
      <c r="D25" s="13">
        <f>MAX(0,C25*$B11/12)</f>
        <v/>
      </c>
      <c r="E25" s="13">
        <f>MAX(0,MIN(C25,$B12-D25))</f>
        <v/>
      </c>
      <c r="F25" s="13">
        <f>MAX(0,C25-E25)</f>
        <v/>
      </c>
      <c r="G25" s="21" t="n">
        <v>2026</v>
      </c>
    </row>
    <row r="26">
      <c r="A26" s="21" t="n">
        <v>6</v>
      </c>
      <c r="B26" s="33" t="n">
        <v>46174</v>
      </c>
      <c r="C26" s="13">
        <f>F25</f>
        <v/>
      </c>
      <c r="D26" s="13">
        <f>MAX(0,C26*$B11/12)</f>
        <v/>
      </c>
      <c r="E26" s="13">
        <f>MAX(0,MIN(C26,$B12-D26))</f>
        <v/>
      </c>
      <c r="F26" s="13">
        <f>MAX(0,C26-E26)</f>
        <v/>
      </c>
      <c r="G26" s="21" t="n">
        <v>2026</v>
      </c>
    </row>
    <row r="27">
      <c r="A27" s="21" t="n">
        <v>7</v>
      </c>
      <c r="B27" s="33" t="n">
        <v>46204</v>
      </c>
      <c r="C27" s="13">
        <f>F26</f>
        <v/>
      </c>
      <c r="D27" s="13">
        <f>MAX(0,C27*$B11/12)</f>
        <v/>
      </c>
      <c r="E27" s="13">
        <f>MAX(0,MIN(C27,$B12-D27))</f>
        <v/>
      </c>
      <c r="F27" s="13">
        <f>MAX(0,C27-E27)</f>
        <v/>
      </c>
      <c r="G27" s="21" t="n">
        <v>2026</v>
      </c>
    </row>
    <row r="28">
      <c r="A28" s="21" t="n">
        <v>8</v>
      </c>
      <c r="B28" s="33" t="n">
        <v>46235</v>
      </c>
      <c r="C28" s="13">
        <f>F27</f>
        <v/>
      </c>
      <c r="D28" s="13">
        <f>MAX(0,C28*$B11/12)</f>
        <v/>
      </c>
      <c r="E28" s="13">
        <f>MAX(0,MIN(C28,$B12-D28))</f>
        <v/>
      </c>
      <c r="F28" s="13">
        <f>MAX(0,C28-E28)</f>
        <v/>
      </c>
      <c r="G28" s="21" t="n">
        <v>2026</v>
      </c>
    </row>
    <row r="29">
      <c r="A29" s="21" t="n">
        <v>9</v>
      </c>
      <c r="B29" s="33" t="n">
        <v>46266</v>
      </c>
      <c r="C29" s="13">
        <f>F28</f>
        <v/>
      </c>
      <c r="D29" s="13">
        <f>MAX(0,C29*$B11/12)</f>
        <v/>
      </c>
      <c r="E29" s="13">
        <f>MAX(0,MIN(C29,$B12-D29))</f>
        <v/>
      </c>
      <c r="F29" s="13">
        <f>MAX(0,C29-E29)</f>
        <v/>
      </c>
      <c r="G29" s="21" t="n">
        <v>2026</v>
      </c>
    </row>
    <row r="30">
      <c r="A30" s="21" t="n">
        <v>10</v>
      </c>
      <c r="B30" s="33" t="n">
        <v>46296</v>
      </c>
      <c r="C30" s="13">
        <f>F29</f>
        <v/>
      </c>
      <c r="D30" s="13">
        <f>MAX(0,C30*$B11/12)</f>
        <v/>
      </c>
      <c r="E30" s="13">
        <f>MAX(0,MIN(C30,$B12-D30))</f>
        <v/>
      </c>
      <c r="F30" s="13">
        <f>MAX(0,C30-E30)</f>
        <v/>
      </c>
      <c r="G30" s="21" t="n">
        <v>2026</v>
      </c>
    </row>
    <row r="31">
      <c r="A31" s="21" t="n">
        <v>11</v>
      </c>
      <c r="B31" s="33" t="n">
        <v>46327</v>
      </c>
      <c r="C31" s="13">
        <f>F30</f>
        <v/>
      </c>
      <c r="D31" s="13">
        <f>MAX(0,C31*$B11/12)</f>
        <v/>
      </c>
      <c r="E31" s="13">
        <f>MAX(0,MIN(C31,$B12-D31))</f>
        <v/>
      </c>
      <c r="F31" s="13">
        <f>MAX(0,C31-E31)</f>
        <v/>
      </c>
      <c r="G31" s="21" t="n">
        <v>2026</v>
      </c>
    </row>
    <row r="32">
      <c r="A32" s="21" t="n">
        <v>12</v>
      </c>
      <c r="B32" s="33" t="n">
        <v>46357</v>
      </c>
      <c r="C32" s="13">
        <f>F31</f>
        <v/>
      </c>
      <c r="D32" s="13">
        <f>MAX(0,C32*$B11/12)</f>
        <v/>
      </c>
      <c r="E32" s="13">
        <f>MAX(0,MIN(C32,$B12-D32))</f>
        <v/>
      </c>
      <c r="F32" s="13">
        <f>MAX(0,C32-E32)</f>
        <v/>
      </c>
      <c r="G32" s="21" t="n">
        <v>2026</v>
      </c>
    </row>
    <row r="33">
      <c r="A33" s="21" t="n">
        <v>13</v>
      </c>
      <c r="B33" s="33" t="n">
        <v>46388</v>
      </c>
      <c r="C33" s="13">
        <f>F32</f>
        <v/>
      </c>
      <c r="D33" s="13">
        <f>MAX(0,C33*$B11/12)</f>
        <v/>
      </c>
      <c r="E33" s="13">
        <f>MAX(0,MIN(C33,$B12-D33))</f>
        <v/>
      </c>
      <c r="F33" s="13">
        <f>MAX(0,C33-E33)</f>
        <v/>
      </c>
      <c r="G33" s="21" t="n">
        <v>2027</v>
      </c>
    </row>
    <row r="34">
      <c r="A34" s="21" t="n">
        <v>14</v>
      </c>
      <c r="B34" s="33" t="n">
        <v>46419</v>
      </c>
      <c r="C34" s="13">
        <f>F33</f>
        <v/>
      </c>
      <c r="D34" s="13">
        <f>MAX(0,C34*$B11/12)</f>
        <v/>
      </c>
      <c r="E34" s="13">
        <f>MAX(0,MIN(C34,$B12-D34))</f>
        <v/>
      </c>
      <c r="F34" s="13">
        <f>MAX(0,C34-E34)</f>
        <v/>
      </c>
      <c r="G34" s="21" t="n">
        <v>2027</v>
      </c>
    </row>
    <row r="35">
      <c r="A35" s="21" t="n">
        <v>15</v>
      </c>
      <c r="B35" s="33" t="n">
        <v>46447</v>
      </c>
      <c r="C35" s="13">
        <f>F34</f>
        <v/>
      </c>
      <c r="D35" s="13">
        <f>MAX(0,C35*$B11/12)</f>
        <v/>
      </c>
      <c r="E35" s="13">
        <f>MAX(0,MIN(C35,$B12-D35))</f>
        <v/>
      </c>
      <c r="F35" s="13">
        <f>MAX(0,C35-E35)</f>
        <v/>
      </c>
      <c r="G35" s="21" t="n">
        <v>2027</v>
      </c>
    </row>
    <row r="36">
      <c r="A36" s="21" t="n">
        <v>16</v>
      </c>
      <c r="B36" s="33" t="n">
        <v>46478</v>
      </c>
      <c r="C36" s="13">
        <f>F35</f>
        <v/>
      </c>
      <c r="D36" s="13">
        <f>MAX(0,C36*$B11/12)</f>
        <v/>
      </c>
      <c r="E36" s="13">
        <f>MAX(0,MIN(C36,$B12-D36))</f>
        <v/>
      </c>
      <c r="F36" s="13">
        <f>MAX(0,C36-E36)</f>
        <v/>
      </c>
      <c r="G36" s="21" t="n">
        <v>2027</v>
      </c>
    </row>
    <row r="37">
      <c r="A37" s="21" t="n">
        <v>17</v>
      </c>
      <c r="B37" s="33" t="n">
        <v>46508</v>
      </c>
      <c r="C37" s="13">
        <f>F36</f>
        <v/>
      </c>
      <c r="D37" s="13">
        <f>MAX(0,C37*$B11/12)</f>
        <v/>
      </c>
      <c r="E37" s="13">
        <f>MAX(0,MIN(C37,$B12-D37))</f>
        <v/>
      </c>
      <c r="F37" s="13">
        <f>MAX(0,C37-E37)</f>
        <v/>
      </c>
      <c r="G37" s="21" t="n">
        <v>2027</v>
      </c>
    </row>
    <row r="38">
      <c r="A38" s="21" t="n">
        <v>18</v>
      </c>
      <c r="B38" s="33" t="n">
        <v>46539</v>
      </c>
      <c r="C38" s="13">
        <f>F37</f>
        <v/>
      </c>
      <c r="D38" s="13">
        <f>MAX(0,C38*$B11/12)</f>
        <v/>
      </c>
      <c r="E38" s="13">
        <f>MAX(0,MIN(C38,$B12-D38))</f>
        <v/>
      </c>
      <c r="F38" s="13">
        <f>MAX(0,C38-E38)</f>
        <v/>
      </c>
      <c r="G38" s="21" t="n">
        <v>2027</v>
      </c>
    </row>
    <row r="39">
      <c r="A39" s="21" t="n">
        <v>19</v>
      </c>
      <c r="B39" s="33" t="n">
        <v>46569</v>
      </c>
      <c r="C39" s="13">
        <f>F38</f>
        <v/>
      </c>
      <c r="D39" s="13">
        <f>MAX(0,C39*$B11/12)</f>
        <v/>
      </c>
      <c r="E39" s="13">
        <f>MAX(0,MIN(C39,$B12-D39))</f>
        <v/>
      </c>
      <c r="F39" s="13">
        <f>MAX(0,C39-E39)</f>
        <v/>
      </c>
      <c r="G39" s="21" t="n">
        <v>2027</v>
      </c>
    </row>
    <row r="40">
      <c r="A40" s="21" t="n">
        <v>20</v>
      </c>
      <c r="B40" s="33" t="n">
        <v>46600</v>
      </c>
      <c r="C40" s="13">
        <f>F39</f>
        <v/>
      </c>
      <c r="D40" s="13">
        <f>MAX(0,C40*$B11/12)</f>
        <v/>
      </c>
      <c r="E40" s="13">
        <f>MAX(0,MIN(C40,$B12-D40))</f>
        <v/>
      </c>
      <c r="F40" s="13">
        <f>MAX(0,C40-E40)</f>
        <v/>
      </c>
      <c r="G40" s="21" t="n">
        <v>2027</v>
      </c>
    </row>
    <row r="41">
      <c r="A41" s="21" t="n">
        <v>21</v>
      </c>
      <c r="B41" s="33" t="n">
        <v>46631</v>
      </c>
      <c r="C41" s="13">
        <f>F40</f>
        <v/>
      </c>
      <c r="D41" s="13">
        <f>MAX(0,C41*$B11/12)</f>
        <v/>
      </c>
      <c r="E41" s="13">
        <f>MAX(0,MIN(C41,$B12-D41))</f>
        <v/>
      </c>
      <c r="F41" s="13">
        <f>MAX(0,C41-E41)</f>
        <v/>
      </c>
      <c r="G41" s="21" t="n">
        <v>2027</v>
      </c>
    </row>
    <row r="42">
      <c r="A42" s="21" t="n">
        <v>22</v>
      </c>
      <c r="B42" s="33" t="n">
        <v>46661</v>
      </c>
      <c r="C42" s="13">
        <f>F41</f>
        <v/>
      </c>
      <c r="D42" s="13">
        <f>MAX(0,C42*$B11/12)</f>
        <v/>
      </c>
      <c r="E42" s="13">
        <f>MAX(0,MIN(C42,$B12-D42))</f>
        <v/>
      </c>
      <c r="F42" s="13">
        <f>MAX(0,C42-E42)</f>
        <v/>
      </c>
      <c r="G42" s="21" t="n">
        <v>2027</v>
      </c>
    </row>
    <row r="43">
      <c r="A43" s="21" t="n">
        <v>23</v>
      </c>
      <c r="B43" s="33" t="n">
        <v>46692</v>
      </c>
      <c r="C43" s="13">
        <f>F42</f>
        <v/>
      </c>
      <c r="D43" s="13">
        <f>MAX(0,C43*$B11/12)</f>
        <v/>
      </c>
      <c r="E43" s="13">
        <f>MAX(0,MIN(C43,$B12-D43))</f>
        <v/>
      </c>
      <c r="F43" s="13">
        <f>MAX(0,C43-E43)</f>
        <v/>
      </c>
      <c r="G43" s="21" t="n">
        <v>2027</v>
      </c>
    </row>
    <row r="44">
      <c r="A44" s="21" t="n">
        <v>24</v>
      </c>
      <c r="B44" s="33" t="n">
        <v>46722</v>
      </c>
      <c r="C44" s="13">
        <f>F43</f>
        <v/>
      </c>
      <c r="D44" s="13">
        <f>MAX(0,C44*$B11/12)</f>
        <v/>
      </c>
      <c r="E44" s="13">
        <f>MAX(0,MIN(C44,$B12-D44))</f>
        <v/>
      </c>
      <c r="F44" s="13">
        <f>MAX(0,C44-E44)</f>
        <v/>
      </c>
      <c r="G44" s="21" t="n">
        <v>2027</v>
      </c>
    </row>
    <row r="45">
      <c r="A45" s="21" t="n">
        <v>25</v>
      </c>
      <c r="B45" s="33" t="n">
        <v>46753</v>
      </c>
      <c r="C45" s="13">
        <f>F44</f>
        <v/>
      </c>
      <c r="D45" s="13">
        <f>MAX(0,C45*$B11/12)</f>
        <v/>
      </c>
      <c r="E45" s="13">
        <f>MAX(0,MIN(C45,$B12-D45))</f>
        <v/>
      </c>
      <c r="F45" s="13">
        <f>MAX(0,C45-E45)</f>
        <v/>
      </c>
      <c r="G45" s="21" t="n">
        <v>2028</v>
      </c>
    </row>
    <row r="46">
      <c r="A46" s="21" t="n">
        <v>26</v>
      </c>
      <c r="B46" s="33" t="n">
        <v>46784</v>
      </c>
      <c r="C46" s="13">
        <f>F45</f>
        <v/>
      </c>
      <c r="D46" s="13">
        <f>MAX(0,C46*$B11/12)</f>
        <v/>
      </c>
      <c r="E46" s="13">
        <f>MAX(0,MIN(C46,$B12-D46))</f>
        <v/>
      </c>
      <c r="F46" s="13">
        <f>MAX(0,C46-E46)</f>
        <v/>
      </c>
      <c r="G46" s="21" t="n">
        <v>2028</v>
      </c>
    </row>
    <row r="47">
      <c r="A47" s="21" t="n">
        <v>27</v>
      </c>
      <c r="B47" s="33" t="n">
        <v>46813</v>
      </c>
      <c r="C47" s="13">
        <f>F46</f>
        <v/>
      </c>
      <c r="D47" s="13">
        <f>MAX(0,C47*$B11/12)</f>
        <v/>
      </c>
      <c r="E47" s="13">
        <f>MAX(0,MIN(C47,$B12-D47))</f>
        <v/>
      </c>
      <c r="F47" s="13">
        <f>MAX(0,C47-E47)</f>
        <v/>
      </c>
      <c r="G47" s="21" t="n">
        <v>2028</v>
      </c>
    </row>
    <row r="48">
      <c r="A48" s="21" t="n">
        <v>28</v>
      </c>
      <c r="B48" s="33" t="n">
        <v>46844</v>
      </c>
      <c r="C48" s="13">
        <f>F47</f>
        <v/>
      </c>
      <c r="D48" s="13">
        <f>MAX(0,C48*$B11/12)</f>
        <v/>
      </c>
      <c r="E48" s="13">
        <f>MAX(0,MIN(C48,$B12-D48))</f>
        <v/>
      </c>
      <c r="F48" s="13">
        <f>MAX(0,C48-E48)</f>
        <v/>
      </c>
      <c r="G48" s="21" t="n">
        <v>2028</v>
      </c>
    </row>
    <row r="49">
      <c r="A49" s="21" t="n">
        <v>29</v>
      </c>
      <c r="B49" s="33" t="n">
        <v>46874</v>
      </c>
      <c r="C49" s="13">
        <f>F48</f>
        <v/>
      </c>
      <c r="D49" s="13">
        <f>MAX(0,C49*$B11/12)</f>
        <v/>
      </c>
      <c r="E49" s="13">
        <f>MAX(0,MIN(C49,$B12-D49))</f>
        <v/>
      </c>
      <c r="F49" s="13">
        <f>MAX(0,C49-E49)</f>
        <v/>
      </c>
      <c r="G49" s="21" t="n">
        <v>2028</v>
      </c>
    </row>
    <row r="50">
      <c r="A50" s="21" t="n">
        <v>30</v>
      </c>
      <c r="B50" s="33" t="n">
        <v>46905</v>
      </c>
      <c r="C50" s="13">
        <f>F49</f>
        <v/>
      </c>
      <c r="D50" s="13">
        <f>MAX(0,C50*$B11/12)</f>
        <v/>
      </c>
      <c r="E50" s="13">
        <f>MAX(0,MIN(C50,$B12-D50))</f>
        <v/>
      </c>
      <c r="F50" s="13">
        <f>MAX(0,C50-E50)</f>
        <v/>
      </c>
      <c r="G50" s="21" t="n">
        <v>2028</v>
      </c>
    </row>
    <row r="51">
      <c r="A51" s="21" t="n">
        <v>31</v>
      </c>
      <c r="B51" s="33" t="n">
        <v>46935</v>
      </c>
      <c r="C51" s="13">
        <f>F50</f>
        <v/>
      </c>
      <c r="D51" s="13">
        <f>MAX(0,C51*$B11/12)</f>
        <v/>
      </c>
      <c r="E51" s="13">
        <f>MAX(0,MIN(C51,$B12-D51))</f>
        <v/>
      </c>
      <c r="F51" s="13">
        <f>MAX(0,C51-E51)</f>
        <v/>
      </c>
      <c r="G51" s="21" t="n">
        <v>2028</v>
      </c>
    </row>
    <row r="52">
      <c r="A52" s="21" t="n">
        <v>32</v>
      </c>
      <c r="B52" s="33" t="n">
        <v>46966</v>
      </c>
      <c r="C52" s="13">
        <f>F51</f>
        <v/>
      </c>
      <c r="D52" s="13">
        <f>MAX(0,C52*$B11/12)</f>
        <v/>
      </c>
      <c r="E52" s="13">
        <f>MAX(0,MIN(C52,$B12-D52))</f>
        <v/>
      </c>
      <c r="F52" s="13">
        <f>MAX(0,C52-E52)</f>
        <v/>
      </c>
      <c r="G52" s="21" t="n">
        <v>2028</v>
      </c>
    </row>
    <row r="55">
      <c r="A55" s="2" t="inlineStr">
        <is>
          <t>ANNUAL SUMMARY</t>
        </is>
      </c>
    </row>
    <row r="56">
      <c r="A56" s="30" t="inlineStr">
        <is>
          <t>Year</t>
        </is>
      </c>
      <c r="B56" s="30" t="inlineStr">
        <is>
          <t>Opening Balance</t>
        </is>
      </c>
      <c r="C56" s="30" t="inlineStr">
        <is>
          <t>Total Interest</t>
        </is>
      </c>
      <c r="D56" s="30" t="inlineStr">
        <is>
          <t>Total Principal</t>
        </is>
      </c>
      <c r="E56" s="30" t="inlineStr">
        <is>
          <t>Closing Balance</t>
        </is>
      </c>
      <c r="F56" s="30" t="inlineStr"/>
    </row>
    <row r="57">
      <c r="A57" s="21" t="n">
        <v>2026</v>
      </c>
      <c r="B57" s="13">
        <f>C21</f>
        <v/>
      </c>
      <c r="C57" s="13">
        <f>SUM(D21:D32)</f>
        <v/>
      </c>
      <c r="D57" s="13">
        <f>SUM(E21:E32)</f>
        <v/>
      </c>
      <c r="E57" s="13">
        <f>F32</f>
        <v/>
      </c>
    </row>
    <row r="58">
      <c r="A58" s="21" t="n">
        <v>2027</v>
      </c>
      <c r="B58" s="13">
        <f>C33</f>
        <v/>
      </c>
      <c r="C58" s="13">
        <f>SUM(D33:D44)</f>
        <v/>
      </c>
      <c r="D58" s="13">
        <f>SUM(E33:E44)</f>
        <v/>
      </c>
      <c r="E58" s="13">
        <f>F44</f>
        <v/>
      </c>
    </row>
    <row r="59">
      <c r="A59" s="21" t="n">
        <v>2028</v>
      </c>
      <c r="B59" s="13">
        <f>C45</f>
        <v/>
      </c>
      <c r="C59" s="13">
        <f>SUM(D45:D52)</f>
        <v/>
      </c>
      <c r="D59" s="13">
        <f>SUM(E45:E52)</f>
        <v/>
      </c>
      <c r="E59" s="13">
        <f>F52</f>
        <v/>
      </c>
    </row>
    <row r="62">
      <c r="A62" s="1" t="inlineStr">
        <is>
          <t>Current Balance (12/31/2025):</t>
        </is>
      </c>
      <c r="B62" s="26">
        <f>B10</f>
        <v/>
      </c>
    </row>
  </sheetData>
  <mergeCells count="3">
    <mergeCell ref="A1:C1"/>
    <mergeCell ref="A55:F55"/>
    <mergeCell ref="A15:C15"/>
  </mergeCells>
  <pageMargins left="0.75" right="0.75" top="1" bottom="1" header="0.5" footer="0.5"/>
  <legacyDrawing xmlns:r="http://schemas.openxmlformats.org/officeDocument/2006/relationships" r:id="anysvml"/>
</worksheet>
</file>

<file path=xl/worksheets/sheet41.xml><?xml version="1.0" encoding="utf-8"?>
<worksheet xmlns="http://schemas.openxmlformats.org/spreadsheetml/2006/main">
  <sheetPr>
    <tabColor rgb="00808080"/>
    <outlinePr summaryBelow="1" summaryRight="1"/>
    <pageSetUpPr/>
  </sheetPr>
  <dimension ref="A1:F52"/>
  <sheetViews>
    <sheetView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16" customWidth="1" min="3" max="3"/>
    <col width="14" customWidth="1" min="4" max="4"/>
    <col width="14" customWidth="1" min="5" max="5"/>
    <col width="16" customWidth="1" min="6" max="6"/>
  </cols>
  <sheetData>
    <row r="1">
      <c r="A1" s="1" t="inlineStr">
        <is>
          <t>Lender:</t>
        </is>
      </c>
      <c r="B1" s="4" t="inlineStr">
        <is>
          <t>Peapack Capital</t>
        </is>
      </c>
    </row>
    <row r="2">
      <c r="A2" s="1" t="inlineStr">
        <is>
          <t>Loan ID:</t>
        </is>
      </c>
      <c r="B2" s="4" t="inlineStr">
        <is>
          <t>05-2984-002-000-00</t>
        </is>
      </c>
    </row>
    <row r="3">
      <c r="A3" s="1" t="inlineStr">
        <is>
          <t>Description:</t>
        </is>
      </c>
      <c r="B3" s="4" t="inlineStr">
        <is>
          <t>5 T680 Sleepers</t>
        </is>
      </c>
    </row>
    <row r="4">
      <c r="A4" s="1" t="inlineStr">
        <is>
          <t>Collateral:</t>
        </is>
      </c>
      <c r="B4" s="4" t="inlineStr">
        <is>
          <t>Equipment - Semi Trucks</t>
        </is>
      </c>
    </row>
    <row r="5">
      <c r="A5" s="1" t="inlineStr">
        <is>
          <t>Origination Date:</t>
        </is>
      </c>
      <c r="B5" s="4" t="inlineStr">
        <is>
          <t>02/18/2022</t>
        </is>
      </c>
    </row>
    <row r="6">
      <c r="A6" s="1" t="inlineStr">
        <is>
          <t>Maturity Date:</t>
        </is>
      </c>
      <c r="B6" s="4" t="inlineStr">
        <is>
          <t>08/18/2027</t>
        </is>
      </c>
    </row>
    <row r="7">
      <c r="A7" s="1" t="inlineStr">
        <is>
          <t>Original Balance:</t>
        </is>
      </c>
      <c r="B7" s="4" t="n">
        <v>781635</v>
      </c>
    </row>
    <row r="8">
      <c r="A8" s="1" t="inlineStr">
        <is>
          <t>Current Balance (12/31/2025):</t>
        </is>
      </c>
      <c r="B8" s="4" t="n">
        <v>250079</v>
      </c>
    </row>
    <row r="9">
      <c r="A9" s="1" t="inlineStr">
        <is>
          <t>Annual Interest Rate:</t>
        </is>
      </c>
      <c r="B9" s="4" t="n">
        <v>0.0289</v>
      </c>
    </row>
    <row r="10">
      <c r="A10" s="1" t="inlineStr">
        <is>
          <t>Monthly Payment:</t>
        </is>
      </c>
      <c r="B10" s="4" t="n">
        <v>12823</v>
      </c>
    </row>
    <row r="12">
      <c r="A12" s="20" t="inlineStr">
        <is>
          <t>AI ANALYSIS</t>
        </is>
      </c>
    </row>
    <row r="13">
      <c r="A13" s="9" t="inlineStr">
        <is>
          <t>Loan Type: AMORTIZING</t>
        </is>
      </c>
    </row>
    <row r="14">
      <c r="A14" s="9" t="inlineStr">
        <is>
          <t>Amortization: Standard fixed-payment amortization</t>
        </is>
      </c>
    </row>
    <row r="15">
      <c r="A15" s="9" t="inlineStr">
        <is>
          <t>Collateral Type: Equipment - Semi Trucks</t>
        </is>
      </c>
    </row>
    <row r="16">
      <c r="A16" s="9" t="inlineStr">
        <is>
          <t>Remaining term calculated from current balance</t>
        </is>
      </c>
    </row>
    <row r="17">
      <c r="A17" s="9" t="inlineStr">
        <is>
          <t>Interest = MAX(0, Opening * Rate/12)</t>
        </is>
      </c>
    </row>
    <row r="18">
      <c r="A18" s="9" t="inlineStr">
        <is>
          <t>Principal = MAX(0, MIN(Opening, Payment - Interest))</t>
        </is>
      </c>
    </row>
    <row r="19">
      <c r="A19" s="9" t="inlineStr">
        <is>
          <t>Closing = MAX(0, Opening - Principal)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43" t="n">
        <v>1</v>
      </c>
      <c r="B23" s="44" t="n">
        <v>46023</v>
      </c>
      <c r="C23" s="45">
        <f>B8</f>
        <v/>
      </c>
      <c r="D23" s="45">
        <f>MAX(0,C23*$B$9/12)</f>
        <v/>
      </c>
      <c r="E23" s="45">
        <f>MAX(0,MIN(C23,$B$10-D23))</f>
        <v/>
      </c>
      <c r="F23" s="45">
        <f>MAX(0,C23-E23)</f>
        <v/>
      </c>
    </row>
    <row r="24">
      <c r="A24" s="43" t="n">
        <v>2</v>
      </c>
      <c r="B24" s="44" t="n">
        <v>46054</v>
      </c>
      <c r="C24" s="45">
        <f>F23</f>
        <v/>
      </c>
      <c r="D24" s="45">
        <f>MAX(0,C24*$B$9/12)</f>
        <v/>
      </c>
      <c r="E24" s="45">
        <f>MAX(0,MIN(C24,$B$10-D24))</f>
        <v/>
      </c>
      <c r="F24" s="45">
        <f>MAX(0,C24-E24)</f>
        <v/>
      </c>
    </row>
    <row r="25">
      <c r="A25" s="43" t="n">
        <v>3</v>
      </c>
      <c r="B25" s="44" t="n">
        <v>46082</v>
      </c>
      <c r="C25" s="45">
        <f>F24</f>
        <v/>
      </c>
      <c r="D25" s="45">
        <f>MAX(0,C25*$B$9/12)</f>
        <v/>
      </c>
      <c r="E25" s="45">
        <f>MAX(0,MIN(C25,$B$10-D25))</f>
        <v/>
      </c>
      <c r="F25" s="45">
        <f>MAX(0,C25-E25)</f>
        <v/>
      </c>
    </row>
    <row r="26">
      <c r="A26" s="43" t="n">
        <v>4</v>
      </c>
      <c r="B26" s="44" t="n">
        <v>46113</v>
      </c>
      <c r="C26" s="45">
        <f>F25</f>
        <v/>
      </c>
      <c r="D26" s="45">
        <f>MAX(0,C26*$B$9/12)</f>
        <v/>
      </c>
      <c r="E26" s="45">
        <f>MAX(0,MIN(C26,$B$10-D26))</f>
        <v/>
      </c>
      <c r="F26" s="45">
        <f>MAX(0,C26-E26)</f>
        <v/>
      </c>
    </row>
    <row r="27">
      <c r="A27" s="43" t="n">
        <v>5</v>
      </c>
      <c r="B27" s="44" t="n">
        <v>46143</v>
      </c>
      <c r="C27" s="45">
        <f>F26</f>
        <v/>
      </c>
      <c r="D27" s="45">
        <f>MAX(0,C27*$B$9/12)</f>
        <v/>
      </c>
      <c r="E27" s="45">
        <f>MAX(0,MIN(C27,$B$10-D27))</f>
        <v/>
      </c>
      <c r="F27" s="45">
        <f>MAX(0,C27-E27)</f>
        <v/>
      </c>
    </row>
    <row r="28">
      <c r="A28" s="43" t="n">
        <v>6</v>
      </c>
      <c r="B28" s="44" t="n">
        <v>46174</v>
      </c>
      <c r="C28" s="45">
        <f>F27</f>
        <v/>
      </c>
      <c r="D28" s="45">
        <f>MAX(0,C28*$B$9/12)</f>
        <v/>
      </c>
      <c r="E28" s="45">
        <f>MAX(0,MIN(C28,$B$10-D28))</f>
        <v/>
      </c>
      <c r="F28" s="45">
        <f>MAX(0,C28-E28)</f>
        <v/>
      </c>
    </row>
    <row r="29">
      <c r="A29" s="43" t="n">
        <v>7</v>
      </c>
      <c r="B29" s="44" t="n">
        <v>46204</v>
      </c>
      <c r="C29" s="45">
        <f>F28</f>
        <v/>
      </c>
      <c r="D29" s="45">
        <f>MAX(0,C29*$B$9/12)</f>
        <v/>
      </c>
      <c r="E29" s="45">
        <f>MAX(0,MIN(C29,$B$10-D29))</f>
        <v/>
      </c>
      <c r="F29" s="45">
        <f>MAX(0,C29-E29)</f>
        <v/>
      </c>
    </row>
    <row r="30">
      <c r="A30" s="43" t="n">
        <v>8</v>
      </c>
      <c r="B30" s="44" t="n">
        <v>46235</v>
      </c>
      <c r="C30" s="45">
        <f>F29</f>
        <v/>
      </c>
      <c r="D30" s="45">
        <f>MAX(0,C30*$B$9/12)</f>
        <v/>
      </c>
      <c r="E30" s="45">
        <f>MAX(0,MIN(C30,$B$10-D30))</f>
        <v/>
      </c>
      <c r="F30" s="45">
        <f>MAX(0,C30-E30)</f>
        <v/>
      </c>
    </row>
    <row r="31">
      <c r="A31" s="43" t="n">
        <v>9</v>
      </c>
      <c r="B31" s="44" t="n">
        <v>46266</v>
      </c>
      <c r="C31" s="45">
        <f>F30</f>
        <v/>
      </c>
      <c r="D31" s="45">
        <f>MAX(0,C31*$B$9/12)</f>
        <v/>
      </c>
      <c r="E31" s="45">
        <f>MAX(0,MIN(C31,$B$10-D31))</f>
        <v/>
      </c>
      <c r="F31" s="45">
        <f>MAX(0,C31-E31)</f>
        <v/>
      </c>
    </row>
    <row r="32">
      <c r="A32" s="43" t="n">
        <v>10</v>
      </c>
      <c r="B32" s="44" t="n">
        <v>46296</v>
      </c>
      <c r="C32" s="45">
        <f>F31</f>
        <v/>
      </c>
      <c r="D32" s="45">
        <f>MAX(0,C32*$B$9/12)</f>
        <v/>
      </c>
      <c r="E32" s="45">
        <f>MAX(0,MIN(C32,$B$10-D32))</f>
        <v/>
      </c>
      <c r="F32" s="45">
        <f>MAX(0,C32-E32)</f>
        <v/>
      </c>
    </row>
    <row r="33">
      <c r="A33" s="43" t="n">
        <v>11</v>
      </c>
      <c r="B33" s="44" t="n">
        <v>46327</v>
      </c>
      <c r="C33" s="45">
        <f>F32</f>
        <v/>
      </c>
      <c r="D33" s="45">
        <f>MAX(0,C33*$B$9/12)</f>
        <v/>
      </c>
      <c r="E33" s="45">
        <f>MAX(0,MIN(C33,$B$10-D33))</f>
        <v/>
      </c>
      <c r="F33" s="45">
        <f>MAX(0,C33-E33)</f>
        <v/>
      </c>
    </row>
    <row r="34">
      <c r="A34" s="43" t="n">
        <v>12</v>
      </c>
      <c r="B34" s="44" t="n">
        <v>46357</v>
      </c>
      <c r="C34" s="45">
        <f>F33</f>
        <v/>
      </c>
      <c r="D34" s="45">
        <f>MAX(0,C34*$B$9/12)</f>
        <v/>
      </c>
      <c r="E34" s="45">
        <f>MAX(0,MIN(C34,$B$10-D34))</f>
        <v/>
      </c>
      <c r="F34" s="45">
        <f>MAX(0,C34-E34)</f>
        <v/>
      </c>
    </row>
    <row r="35">
      <c r="A35" s="43" t="n">
        <v>13</v>
      </c>
      <c r="B35" s="44" t="n">
        <v>46388</v>
      </c>
      <c r="C35" s="45">
        <f>F34</f>
        <v/>
      </c>
      <c r="D35" s="45">
        <f>MAX(0,C35*$B$9/12)</f>
        <v/>
      </c>
      <c r="E35" s="45">
        <f>MAX(0,MIN(C35,$B$10-D35))</f>
        <v/>
      </c>
      <c r="F35" s="45">
        <f>MAX(0,C35-E35)</f>
        <v/>
      </c>
    </row>
    <row r="36">
      <c r="A36" s="43" t="n">
        <v>14</v>
      </c>
      <c r="B36" s="44" t="n">
        <v>46419</v>
      </c>
      <c r="C36" s="45">
        <f>F35</f>
        <v/>
      </c>
      <c r="D36" s="45">
        <f>MAX(0,C36*$B$9/12)</f>
        <v/>
      </c>
      <c r="E36" s="45">
        <f>MAX(0,MIN(C36,$B$10-D36))</f>
        <v/>
      </c>
      <c r="F36" s="45">
        <f>MAX(0,C36-E36)</f>
        <v/>
      </c>
    </row>
    <row r="37">
      <c r="A37" s="43" t="n">
        <v>15</v>
      </c>
      <c r="B37" s="44" t="n">
        <v>46447</v>
      </c>
      <c r="C37" s="45">
        <f>F36</f>
        <v/>
      </c>
      <c r="D37" s="45">
        <f>MAX(0,C37*$B$9/12)</f>
        <v/>
      </c>
      <c r="E37" s="45">
        <f>MAX(0,MIN(C37,$B$10-D37))</f>
        <v/>
      </c>
      <c r="F37" s="45">
        <f>MAX(0,C37-E37)</f>
        <v/>
      </c>
    </row>
    <row r="38">
      <c r="A38" s="43" t="n">
        <v>16</v>
      </c>
      <c r="B38" s="44" t="n">
        <v>46478</v>
      </c>
      <c r="C38" s="45">
        <f>F37</f>
        <v/>
      </c>
      <c r="D38" s="45">
        <f>MAX(0,C38*$B$9/12)</f>
        <v/>
      </c>
      <c r="E38" s="45">
        <f>MAX(0,MIN(C38,$B$10-D38))</f>
        <v/>
      </c>
      <c r="F38" s="45">
        <f>MAX(0,C38-E38)</f>
        <v/>
      </c>
    </row>
    <row r="39">
      <c r="A39" s="43" t="n">
        <v>17</v>
      </c>
      <c r="B39" s="44" t="n">
        <v>46508</v>
      </c>
      <c r="C39" s="45">
        <f>F38</f>
        <v/>
      </c>
      <c r="D39" s="45">
        <f>MAX(0,C39*$B$9/12)</f>
        <v/>
      </c>
      <c r="E39" s="45">
        <f>MAX(0,MIN(C39,$B$10-D39))</f>
        <v/>
      </c>
      <c r="F39" s="45">
        <f>MAX(0,C39-E39)</f>
        <v/>
      </c>
    </row>
    <row r="40">
      <c r="A40" s="43" t="n">
        <v>18</v>
      </c>
      <c r="B40" s="44" t="n">
        <v>46539</v>
      </c>
      <c r="C40" s="45">
        <f>F39</f>
        <v/>
      </c>
      <c r="D40" s="45">
        <f>MAX(0,C40*$B$9/12)</f>
        <v/>
      </c>
      <c r="E40" s="45">
        <f>MAX(0,MIN(C40,$B$10-D40))</f>
        <v/>
      </c>
      <c r="F40" s="45">
        <f>MAX(0,C40-E40)</f>
        <v/>
      </c>
    </row>
    <row r="41">
      <c r="A41" s="43" t="n">
        <v>19</v>
      </c>
      <c r="B41" s="44" t="n">
        <v>46569</v>
      </c>
      <c r="C41" s="45">
        <f>F40</f>
        <v/>
      </c>
      <c r="D41" s="45">
        <f>MAX(0,C41*$B$9/12)</f>
        <v/>
      </c>
      <c r="E41" s="45">
        <f>MAX(0,MIN(C41,$B$10-D41))</f>
        <v/>
      </c>
      <c r="F41" s="45">
        <f>MAX(0,C41-E41)</f>
        <v/>
      </c>
    </row>
    <row r="42">
      <c r="A42" s="43" t="n">
        <v>20</v>
      </c>
      <c r="B42" s="44" t="n">
        <v>46600</v>
      </c>
      <c r="C42" s="45">
        <f>F41</f>
        <v/>
      </c>
      <c r="D42" s="45">
        <f>MAX(0,C42*$B$9/12)</f>
        <v/>
      </c>
      <c r="E42" s="45">
        <f>MAX(0,MIN(C42,$B$10-D42))</f>
        <v/>
      </c>
      <c r="F42" s="45">
        <f>MAX(0,C42-E42)</f>
        <v/>
      </c>
    </row>
    <row r="45">
      <c r="A45" s="2" t="inlineStr">
        <is>
          <t>ANNUAL SUMMARY</t>
        </is>
      </c>
    </row>
    <row r="46">
      <c r="A46" s="46" t="inlineStr">
        <is>
          <t>Year</t>
        </is>
      </c>
      <c r="B46" s="46" t="inlineStr"/>
      <c r="C46" s="46" t="inlineStr">
        <is>
          <t>Total Interest</t>
        </is>
      </c>
      <c r="D46" s="46" t="inlineStr">
        <is>
          <t>Total Principal</t>
        </is>
      </c>
      <c r="E46" s="46" t="inlineStr">
        <is>
          <t>Year-End Balance</t>
        </is>
      </c>
    </row>
    <row r="47">
      <c r="A47" s="43" t="n">
        <v>2026</v>
      </c>
      <c r="C47" s="45">
        <f>SUM(D23:D34)</f>
        <v/>
      </c>
      <c r="D47" s="45">
        <f>SUM(E23:E34)</f>
        <v/>
      </c>
      <c r="E47" s="45">
        <f>F34</f>
        <v/>
      </c>
    </row>
    <row r="48">
      <c r="A48" s="43" t="n">
        <v>2027</v>
      </c>
      <c r="C48" s="45">
        <f>SUM(D35:D42)</f>
        <v/>
      </c>
      <c r="D48" s="45">
        <f>SUM(E35:E42)</f>
        <v/>
      </c>
      <c r="E48" s="45">
        <f>F42</f>
        <v/>
      </c>
    </row>
    <row r="51">
      <c r="A51" s="20" t="inlineStr">
        <is>
          <t>DEBT SCHEDULE REFERENCE</t>
        </is>
      </c>
    </row>
    <row r="52">
      <c r="A52" s="1" t="inlineStr">
        <is>
          <t>Current Balance:</t>
        </is>
      </c>
      <c r="B52" s="26">
        <f>B8</f>
        <v/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2.xml><?xml version="1.0" encoding="utf-8"?>
<worksheet xmlns="http://schemas.openxmlformats.org/spreadsheetml/2006/main">
  <sheetPr>
    <tabColor rgb="00808080"/>
    <outlinePr summaryBelow="1" summaryRight="1"/>
    <pageSetUpPr/>
  </sheetPr>
  <dimension ref="A1:F49"/>
  <sheetViews>
    <sheetView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16" customWidth="1" min="3" max="3"/>
    <col width="14" customWidth="1" min="4" max="4"/>
    <col width="14" customWidth="1" min="5" max="5"/>
    <col width="16" customWidth="1" min="6" max="6"/>
  </cols>
  <sheetData>
    <row r="1">
      <c r="A1" s="1" t="inlineStr">
        <is>
          <t>Lender:</t>
        </is>
      </c>
      <c r="B1" s="4" t="inlineStr">
        <is>
          <t>Peapack Capital</t>
        </is>
      </c>
    </row>
    <row r="2">
      <c r="A2" s="1" t="inlineStr">
        <is>
          <t>Loan ID:</t>
        </is>
      </c>
      <c r="B2" s="4" t="inlineStr">
        <is>
          <t>05-2984-004-000-00</t>
        </is>
      </c>
    </row>
    <row r="3">
      <c r="A3" s="1" t="inlineStr">
        <is>
          <t>Description:</t>
        </is>
      </c>
      <c r="B3" s="4" t="inlineStr">
        <is>
          <t>1 Autocar Spotter</t>
        </is>
      </c>
    </row>
    <row r="4">
      <c r="A4" s="1" t="inlineStr">
        <is>
          <t>Collateral:</t>
        </is>
      </c>
      <c r="B4" s="4" t="inlineStr">
        <is>
          <t>Equipment - Spotter Truck</t>
        </is>
      </c>
    </row>
    <row r="5">
      <c r="A5" s="1" t="inlineStr">
        <is>
          <t>Origination Date:</t>
        </is>
      </c>
      <c r="B5" s="4" t="inlineStr">
        <is>
          <t>05/27/2022</t>
        </is>
      </c>
    </row>
    <row r="6">
      <c r="A6" s="1" t="inlineStr">
        <is>
          <t>Maturity Date:</t>
        </is>
      </c>
      <c r="B6" s="4" t="inlineStr">
        <is>
          <t>05/26/2027</t>
        </is>
      </c>
    </row>
    <row r="7">
      <c r="A7" s="1" t="inlineStr">
        <is>
          <t>Original Balance:</t>
        </is>
      </c>
      <c r="B7" s="4" t="n">
        <v>134500</v>
      </c>
    </row>
    <row r="8">
      <c r="A8" s="1" t="inlineStr">
        <is>
          <t>Current Balance (12/31/2025):</t>
        </is>
      </c>
      <c r="B8" s="4" t="n">
        <v>41375</v>
      </c>
    </row>
    <row r="9">
      <c r="A9" s="1" t="inlineStr">
        <is>
          <t>Annual Interest Rate:</t>
        </is>
      </c>
      <c r="B9" s="4" t="n">
        <v>0.0438</v>
      </c>
    </row>
    <row r="10">
      <c r="A10" s="1" t="inlineStr">
        <is>
          <t>Monthly Payment:</t>
        </is>
      </c>
      <c r="B10" s="4" t="n">
        <v>2500</v>
      </c>
    </row>
    <row r="12">
      <c r="A12" s="20" t="inlineStr">
        <is>
          <t>AI ANALYSIS</t>
        </is>
      </c>
    </row>
    <row r="13">
      <c r="A13" s="9" t="inlineStr">
        <is>
          <t>Loan Type: AMORTIZING</t>
        </is>
      </c>
    </row>
    <row r="14">
      <c r="A14" s="9" t="inlineStr">
        <is>
          <t>Amortization: Standard fixed-payment amortization</t>
        </is>
      </c>
    </row>
    <row r="15">
      <c r="A15" s="9" t="inlineStr">
        <is>
          <t>Collateral Type: Equipment - Spotter Truck</t>
        </is>
      </c>
    </row>
    <row r="16">
      <c r="A16" s="9" t="inlineStr">
        <is>
          <t>Remaining term calculated from current balance</t>
        </is>
      </c>
    </row>
    <row r="17">
      <c r="A17" s="9" t="inlineStr">
        <is>
          <t>Interest = MAX(0, Opening * Rate/12)</t>
        </is>
      </c>
    </row>
    <row r="18">
      <c r="A18" s="9" t="inlineStr">
        <is>
          <t>Principal = MAX(0, MIN(Opening, Payment - Interest))</t>
        </is>
      </c>
    </row>
    <row r="19">
      <c r="A19" s="9" t="inlineStr">
        <is>
          <t>Closing = MAX(0, Opening - Principal)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43" t="n">
        <v>1</v>
      </c>
      <c r="B23" s="44" t="n">
        <v>46023</v>
      </c>
      <c r="C23" s="45">
        <f>B8</f>
        <v/>
      </c>
      <c r="D23" s="45">
        <f>MAX(0,C23*$B$9/12)</f>
        <v/>
      </c>
      <c r="E23" s="45">
        <f>MAX(0,MIN(C23,$B$10-D23))</f>
        <v/>
      </c>
      <c r="F23" s="45">
        <f>MAX(0,C23-E23)</f>
        <v/>
      </c>
    </row>
    <row r="24">
      <c r="A24" s="43" t="n">
        <v>2</v>
      </c>
      <c r="B24" s="44" t="n">
        <v>46054</v>
      </c>
      <c r="C24" s="45">
        <f>F23</f>
        <v/>
      </c>
      <c r="D24" s="45">
        <f>MAX(0,C24*$B$9/12)</f>
        <v/>
      </c>
      <c r="E24" s="45">
        <f>MAX(0,MIN(C24,$B$10-D24))</f>
        <v/>
      </c>
      <c r="F24" s="45">
        <f>MAX(0,C24-E24)</f>
        <v/>
      </c>
    </row>
    <row r="25">
      <c r="A25" s="43" t="n">
        <v>3</v>
      </c>
      <c r="B25" s="44" t="n">
        <v>46082</v>
      </c>
      <c r="C25" s="45">
        <f>F24</f>
        <v/>
      </c>
      <c r="D25" s="45">
        <f>MAX(0,C25*$B$9/12)</f>
        <v/>
      </c>
      <c r="E25" s="45">
        <f>MAX(0,MIN(C25,$B$10-D25))</f>
        <v/>
      </c>
      <c r="F25" s="45">
        <f>MAX(0,C25-E25)</f>
        <v/>
      </c>
    </row>
    <row r="26">
      <c r="A26" s="43" t="n">
        <v>4</v>
      </c>
      <c r="B26" s="44" t="n">
        <v>46113</v>
      </c>
      <c r="C26" s="45">
        <f>F25</f>
        <v/>
      </c>
      <c r="D26" s="45">
        <f>MAX(0,C26*$B$9/12)</f>
        <v/>
      </c>
      <c r="E26" s="45">
        <f>MAX(0,MIN(C26,$B$10-D26))</f>
        <v/>
      </c>
      <c r="F26" s="45">
        <f>MAX(0,C26-E26)</f>
        <v/>
      </c>
    </row>
    <row r="27">
      <c r="A27" s="43" t="n">
        <v>5</v>
      </c>
      <c r="B27" s="44" t="n">
        <v>46143</v>
      </c>
      <c r="C27" s="45">
        <f>F26</f>
        <v/>
      </c>
      <c r="D27" s="45">
        <f>MAX(0,C27*$B$9/12)</f>
        <v/>
      </c>
      <c r="E27" s="45">
        <f>MAX(0,MIN(C27,$B$10-D27))</f>
        <v/>
      </c>
      <c r="F27" s="45">
        <f>MAX(0,C27-E27)</f>
        <v/>
      </c>
    </row>
    <row r="28">
      <c r="A28" s="43" t="n">
        <v>6</v>
      </c>
      <c r="B28" s="44" t="n">
        <v>46174</v>
      </c>
      <c r="C28" s="45">
        <f>F27</f>
        <v/>
      </c>
      <c r="D28" s="45">
        <f>MAX(0,C28*$B$9/12)</f>
        <v/>
      </c>
      <c r="E28" s="45">
        <f>MAX(0,MIN(C28,$B$10-D28))</f>
        <v/>
      </c>
      <c r="F28" s="45">
        <f>MAX(0,C28-E28)</f>
        <v/>
      </c>
    </row>
    <row r="29">
      <c r="A29" s="43" t="n">
        <v>7</v>
      </c>
      <c r="B29" s="44" t="n">
        <v>46204</v>
      </c>
      <c r="C29" s="45">
        <f>F28</f>
        <v/>
      </c>
      <c r="D29" s="45">
        <f>MAX(0,C29*$B$9/12)</f>
        <v/>
      </c>
      <c r="E29" s="45">
        <f>MAX(0,MIN(C29,$B$10-D29))</f>
        <v/>
      </c>
      <c r="F29" s="45">
        <f>MAX(0,C29-E29)</f>
        <v/>
      </c>
    </row>
    <row r="30">
      <c r="A30" s="43" t="n">
        <v>8</v>
      </c>
      <c r="B30" s="44" t="n">
        <v>46235</v>
      </c>
      <c r="C30" s="45">
        <f>F29</f>
        <v/>
      </c>
      <c r="D30" s="45">
        <f>MAX(0,C30*$B$9/12)</f>
        <v/>
      </c>
      <c r="E30" s="45">
        <f>MAX(0,MIN(C30,$B$10-D30))</f>
        <v/>
      </c>
      <c r="F30" s="45">
        <f>MAX(0,C30-E30)</f>
        <v/>
      </c>
    </row>
    <row r="31">
      <c r="A31" s="43" t="n">
        <v>9</v>
      </c>
      <c r="B31" s="44" t="n">
        <v>46266</v>
      </c>
      <c r="C31" s="45">
        <f>F30</f>
        <v/>
      </c>
      <c r="D31" s="45">
        <f>MAX(0,C31*$B$9/12)</f>
        <v/>
      </c>
      <c r="E31" s="45">
        <f>MAX(0,MIN(C31,$B$10-D31))</f>
        <v/>
      </c>
      <c r="F31" s="45">
        <f>MAX(0,C31-E31)</f>
        <v/>
      </c>
    </row>
    <row r="32">
      <c r="A32" s="43" t="n">
        <v>10</v>
      </c>
      <c r="B32" s="44" t="n">
        <v>46296</v>
      </c>
      <c r="C32" s="45">
        <f>F31</f>
        <v/>
      </c>
      <c r="D32" s="45">
        <f>MAX(0,C32*$B$9/12)</f>
        <v/>
      </c>
      <c r="E32" s="45">
        <f>MAX(0,MIN(C32,$B$10-D32))</f>
        <v/>
      </c>
      <c r="F32" s="45">
        <f>MAX(0,C32-E32)</f>
        <v/>
      </c>
    </row>
    <row r="33">
      <c r="A33" s="43" t="n">
        <v>11</v>
      </c>
      <c r="B33" s="44" t="n">
        <v>46327</v>
      </c>
      <c r="C33" s="45">
        <f>F32</f>
        <v/>
      </c>
      <c r="D33" s="45">
        <f>MAX(0,C33*$B$9/12)</f>
        <v/>
      </c>
      <c r="E33" s="45">
        <f>MAX(0,MIN(C33,$B$10-D33))</f>
        <v/>
      </c>
      <c r="F33" s="45">
        <f>MAX(0,C33-E33)</f>
        <v/>
      </c>
    </row>
    <row r="34">
      <c r="A34" s="43" t="n">
        <v>12</v>
      </c>
      <c r="B34" s="44" t="n">
        <v>46357</v>
      </c>
      <c r="C34" s="45">
        <f>F33</f>
        <v/>
      </c>
      <c r="D34" s="45">
        <f>MAX(0,C34*$B$9/12)</f>
        <v/>
      </c>
      <c r="E34" s="45">
        <f>MAX(0,MIN(C34,$B$10-D34))</f>
        <v/>
      </c>
      <c r="F34" s="45">
        <f>MAX(0,C34-E34)</f>
        <v/>
      </c>
    </row>
    <row r="35">
      <c r="A35" s="43" t="n">
        <v>13</v>
      </c>
      <c r="B35" s="44" t="n">
        <v>46388</v>
      </c>
      <c r="C35" s="45">
        <f>F34</f>
        <v/>
      </c>
      <c r="D35" s="45">
        <f>MAX(0,C35*$B$9/12)</f>
        <v/>
      </c>
      <c r="E35" s="45">
        <f>MAX(0,MIN(C35,$B$10-D35))</f>
        <v/>
      </c>
      <c r="F35" s="45">
        <f>MAX(0,C35-E35)</f>
        <v/>
      </c>
    </row>
    <row r="36">
      <c r="A36" s="43" t="n">
        <v>14</v>
      </c>
      <c r="B36" s="44" t="n">
        <v>46419</v>
      </c>
      <c r="C36" s="45">
        <f>F35</f>
        <v/>
      </c>
      <c r="D36" s="45">
        <f>MAX(0,C36*$B$9/12)</f>
        <v/>
      </c>
      <c r="E36" s="45">
        <f>MAX(0,MIN(C36,$B$10-D36))</f>
        <v/>
      </c>
      <c r="F36" s="45">
        <f>MAX(0,C36-E36)</f>
        <v/>
      </c>
    </row>
    <row r="37">
      <c r="A37" s="43" t="n">
        <v>15</v>
      </c>
      <c r="B37" s="44" t="n">
        <v>46447</v>
      </c>
      <c r="C37" s="45">
        <f>F36</f>
        <v/>
      </c>
      <c r="D37" s="45">
        <f>MAX(0,C37*$B$9/12)</f>
        <v/>
      </c>
      <c r="E37" s="45">
        <f>MAX(0,MIN(C37,$B$10-D37))</f>
        <v/>
      </c>
      <c r="F37" s="45">
        <f>MAX(0,C37-E37)</f>
        <v/>
      </c>
    </row>
    <row r="38">
      <c r="A38" s="43" t="n">
        <v>16</v>
      </c>
      <c r="B38" s="44" t="n">
        <v>46478</v>
      </c>
      <c r="C38" s="45">
        <f>F37</f>
        <v/>
      </c>
      <c r="D38" s="45">
        <f>MAX(0,C38*$B$9/12)</f>
        <v/>
      </c>
      <c r="E38" s="45">
        <f>MAX(0,MIN(C38,$B$10-D38))</f>
        <v/>
      </c>
      <c r="F38" s="45">
        <f>MAX(0,C38-E38)</f>
        <v/>
      </c>
    </row>
    <row r="39">
      <c r="A39" s="43" t="n">
        <v>17</v>
      </c>
      <c r="B39" s="44" t="n">
        <v>46508</v>
      </c>
      <c r="C39" s="45">
        <f>F38</f>
        <v/>
      </c>
      <c r="D39" s="45">
        <f>MAX(0,C39*$B$9/12)</f>
        <v/>
      </c>
      <c r="E39" s="45">
        <f>MAX(0,MIN(C39,$B$10-D39))</f>
        <v/>
      </c>
      <c r="F39" s="45">
        <f>MAX(0,C39-E39)</f>
        <v/>
      </c>
    </row>
    <row r="42">
      <c r="A42" s="2" t="inlineStr">
        <is>
          <t>ANNUAL SUMMARY</t>
        </is>
      </c>
    </row>
    <row r="43">
      <c r="A43" s="46" t="inlineStr">
        <is>
          <t>Year</t>
        </is>
      </c>
      <c r="B43" s="46" t="inlineStr"/>
      <c r="C43" s="46" t="inlineStr">
        <is>
          <t>Total Interest</t>
        </is>
      </c>
      <c r="D43" s="46" t="inlineStr">
        <is>
          <t>Total Principal</t>
        </is>
      </c>
      <c r="E43" s="46" t="inlineStr">
        <is>
          <t>Year-End Balance</t>
        </is>
      </c>
    </row>
    <row r="44">
      <c r="A44" s="43" t="n">
        <v>2026</v>
      </c>
      <c r="C44" s="45">
        <f>SUM(D23:D34)</f>
        <v/>
      </c>
      <c r="D44" s="45">
        <f>SUM(E23:E34)</f>
        <v/>
      </c>
      <c r="E44" s="45">
        <f>F34</f>
        <v/>
      </c>
    </row>
    <row r="45">
      <c r="A45" s="43" t="n">
        <v>2027</v>
      </c>
      <c r="C45" s="45">
        <f>SUM(D35:D39)</f>
        <v/>
      </c>
      <c r="D45" s="45">
        <f>SUM(E35:E39)</f>
        <v/>
      </c>
      <c r="E45" s="45">
        <f>F39</f>
        <v/>
      </c>
    </row>
    <row r="48">
      <c r="A48" s="20" t="inlineStr">
        <is>
          <t>DEBT SCHEDULE REFERENCE</t>
        </is>
      </c>
    </row>
    <row r="49">
      <c r="A49" s="1" t="inlineStr">
        <is>
          <t>Current Balance:</t>
        </is>
      </c>
      <c r="B49" s="26">
        <f>B8</f>
        <v/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3.xml><?xml version="1.0" encoding="utf-8"?>
<worksheet xmlns="http://schemas.openxmlformats.org/spreadsheetml/2006/main">
  <sheetPr>
    <tabColor rgb="00808080"/>
    <outlinePr summaryBelow="1" summaryRight="1"/>
    <pageSetUpPr/>
  </sheetPr>
  <dimension ref="A1:F51"/>
  <sheetViews>
    <sheetView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16" customWidth="1" min="3" max="3"/>
    <col width="14" customWidth="1" min="4" max="4"/>
    <col width="14" customWidth="1" min="5" max="5"/>
    <col width="16" customWidth="1" min="6" max="6"/>
  </cols>
  <sheetData>
    <row r="1">
      <c r="A1" s="1" t="inlineStr">
        <is>
          <t>Lender:</t>
        </is>
      </c>
      <c r="B1" s="4" t="inlineStr">
        <is>
          <t>Peapack Capital</t>
        </is>
      </c>
    </row>
    <row r="2">
      <c r="A2" s="1" t="inlineStr">
        <is>
          <t>Loan ID:</t>
        </is>
      </c>
      <c r="B2" s="4" t="inlineStr">
        <is>
          <t>05-2984-009-000-00</t>
        </is>
      </c>
    </row>
    <row r="3">
      <c r="A3" s="1" t="inlineStr">
        <is>
          <t>Description:</t>
        </is>
      </c>
      <c r="B3" s="4" t="inlineStr">
        <is>
          <t>1 Electric Forklift</t>
        </is>
      </c>
    </row>
    <row r="4">
      <c r="A4" s="1" t="inlineStr">
        <is>
          <t>Collateral:</t>
        </is>
      </c>
      <c r="B4" s="4" t="inlineStr">
        <is>
          <t>Equipment - Forklift</t>
        </is>
      </c>
    </row>
    <row r="5">
      <c r="A5" s="1" t="inlineStr">
        <is>
          <t>Origination Date:</t>
        </is>
      </c>
      <c r="B5" s="4" t="inlineStr">
        <is>
          <t>07/03/2024</t>
        </is>
      </c>
    </row>
    <row r="6">
      <c r="A6" s="1" t="inlineStr">
        <is>
          <t>Maturity Date:</t>
        </is>
      </c>
      <c r="B6" s="4" t="inlineStr">
        <is>
          <t>07/03/2027</t>
        </is>
      </c>
    </row>
    <row r="7">
      <c r="A7" s="1" t="inlineStr">
        <is>
          <t>Original Balance:</t>
        </is>
      </c>
      <c r="B7" s="4" t="n">
        <v>34423.5</v>
      </c>
    </row>
    <row r="8">
      <c r="A8" s="1" t="inlineStr">
        <is>
          <t>Current Balance (12/31/2025):</t>
        </is>
      </c>
      <c r="B8" s="4" t="n">
        <v>19127</v>
      </c>
    </row>
    <row r="9">
      <c r="A9" s="1" t="inlineStr">
        <is>
          <t>Annual Interest Rate:</t>
        </is>
      </c>
      <c r="B9" s="4" t="n">
        <v>0.0726</v>
      </c>
    </row>
    <row r="10">
      <c r="A10" s="1" t="inlineStr">
        <is>
          <t>Monthly Payment:</t>
        </is>
      </c>
      <c r="B10" s="4" t="n">
        <v>1067</v>
      </c>
    </row>
    <row r="12">
      <c r="A12" s="20" t="inlineStr">
        <is>
          <t>AI ANALYSIS</t>
        </is>
      </c>
    </row>
    <row r="13">
      <c r="A13" s="9" t="inlineStr">
        <is>
          <t>Loan Type: AMORTIZING</t>
        </is>
      </c>
    </row>
    <row r="14">
      <c r="A14" s="9" t="inlineStr">
        <is>
          <t>Amortization: Standard fixed-payment amortization</t>
        </is>
      </c>
    </row>
    <row r="15">
      <c r="A15" s="9" t="inlineStr">
        <is>
          <t>Collateral Type: Equipment - Forklift</t>
        </is>
      </c>
    </row>
    <row r="16">
      <c r="A16" s="9" t="inlineStr">
        <is>
          <t>Remaining term calculated from current balance</t>
        </is>
      </c>
    </row>
    <row r="17">
      <c r="A17" s="9" t="inlineStr">
        <is>
          <t>Interest = MAX(0, Opening * Rate/12)</t>
        </is>
      </c>
    </row>
    <row r="18">
      <c r="A18" s="9" t="inlineStr">
        <is>
          <t>Principal = MAX(0, MIN(Opening, Payment - Interest))</t>
        </is>
      </c>
    </row>
    <row r="19">
      <c r="A19" s="9" t="inlineStr">
        <is>
          <t>Closing = MAX(0, Opening - Principal)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43" t="n">
        <v>1</v>
      </c>
      <c r="B23" s="44" t="n">
        <v>46023</v>
      </c>
      <c r="C23" s="45">
        <f>B8</f>
        <v/>
      </c>
      <c r="D23" s="45">
        <f>MAX(0,C23*$B$9/12)</f>
        <v/>
      </c>
      <c r="E23" s="45">
        <f>MAX(0,MIN(C23,$B$10-D23))</f>
        <v/>
      </c>
      <c r="F23" s="45">
        <f>MAX(0,C23-E23)</f>
        <v/>
      </c>
    </row>
    <row r="24">
      <c r="A24" s="43" t="n">
        <v>2</v>
      </c>
      <c r="B24" s="44" t="n">
        <v>46054</v>
      </c>
      <c r="C24" s="45">
        <f>F23</f>
        <v/>
      </c>
      <c r="D24" s="45">
        <f>MAX(0,C24*$B$9/12)</f>
        <v/>
      </c>
      <c r="E24" s="45">
        <f>MAX(0,MIN(C24,$B$10-D24))</f>
        <v/>
      </c>
      <c r="F24" s="45">
        <f>MAX(0,C24-E24)</f>
        <v/>
      </c>
    </row>
    <row r="25">
      <c r="A25" s="43" t="n">
        <v>3</v>
      </c>
      <c r="B25" s="44" t="n">
        <v>46082</v>
      </c>
      <c r="C25" s="45">
        <f>F24</f>
        <v/>
      </c>
      <c r="D25" s="45">
        <f>MAX(0,C25*$B$9/12)</f>
        <v/>
      </c>
      <c r="E25" s="45">
        <f>MAX(0,MIN(C25,$B$10-D25))</f>
        <v/>
      </c>
      <c r="F25" s="45">
        <f>MAX(0,C25-E25)</f>
        <v/>
      </c>
    </row>
    <row r="26">
      <c r="A26" s="43" t="n">
        <v>4</v>
      </c>
      <c r="B26" s="44" t="n">
        <v>46113</v>
      </c>
      <c r="C26" s="45">
        <f>F25</f>
        <v/>
      </c>
      <c r="D26" s="45">
        <f>MAX(0,C26*$B$9/12)</f>
        <v/>
      </c>
      <c r="E26" s="45">
        <f>MAX(0,MIN(C26,$B$10-D26))</f>
        <v/>
      </c>
      <c r="F26" s="45">
        <f>MAX(0,C26-E26)</f>
        <v/>
      </c>
    </row>
    <row r="27">
      <c r="A27" s="43" t="n">
        <v>5</v>
      </c>
      <c r="B27" s="44" t="n">
        <v>46143</v>
      </c>
      <c r="C27" s="45">
        <f>F26</f>
        <v/>
      </c>
      <c r="D27" s="45">
        <f>MAX(0,C27*$B$9/12)</f>
        <v/>
      </c>
      <c r="E27" s="45">
        <f>MAX(0,MIN(C27,$B$10-D27))</f>
        <v/>
      </c>
      <c r="F27" s="45">
        <f>MAX(0,C27-E27)</f>
        <v/>
      </c>
    </row>
    <row r="28">
      <c r="A28" s="43" t="n">
        <v>6</v>
      </c>
      <c r="B28" s="44" t="n">
        <v>46174</v>
      </c>
      <c r="C28" s="45">
        <f>F27</f>
        <v/>
      </c>
      <c r="D28" s="45">
        <f>MAX(0,C28*$B$9/12)</f>
        <v/>
      </c>
      <c r="E28" s="45">
        <f>MAX(0,MIN(C28,$B$10-D28))</f>
        <v/>
      </c>
      <c r="F28" s="45">
        <f>MAX(0,C28-E28)</f>
        <v/>
      </c>
    </row>
    <row r="29">
      <c r="A29" s="43" t="n">
        <v>7</v>
      </c>
      <c r="B29" s="44" t="n">
        <v>46204</v>
      </c>
      <c r="C29" s="45">
        <f>F28</f>
        <v/>
      </c>
      <c r="D29" s="45">
        <f>MAX(0,C29*$B$9/12)</f>
        <v/>
      </c>
      <c r="E29" s="45">
        <f>MAX(0,MIN(C29,$B$10-D29))</f>
        <v/>
      </c>
      <c r="F29" s="45">
        <f>MAX(0,C29-E29)</f>
        <v/>
      </c>
    </row>
    <row r="30">
      <c r="A30" s="43" t="n">
        <v>8</v>
      </c>
      <c r="B30" s="44" t="n">
        <v>46235</v>
      </c>
      <c r="C30" s="45">
        <f>F29</f>
        <v/>
      </c>
      <c r="D30" s="45">
        <f>MAX(0,C30*$B$9/12)</f>
        <v/>
      </c>
      <c r="E30" s="45">
        <f>MAX(0,MIN(C30,$B$10-D30))</f>
        <v/>
      </c>
      <c r="F30" s="45">
        <f>MAX(0,C30-E30)</f>
        <v/>
      </c>
    </row>
    <row r="31">
      <c r="A31" s="43" t="n">
        <v>9</v>
      </c>
      <c r="B31" s="44" t="n">
        <v>46266</v>
      </c>
      <c r="C31" s="45">
        <f>F30</f>
        <v/>
      </c>
      <c r="D31" s="45">
        <f>MAX(0,C31*$B$9/12)</f>
        <v/>
      </c>
      <c r="E31" s="45">
        <f>MAX(0,MIN(C31,$B$10-D31))</f>
        <v/>
      </c>
      <c r="F31" s="45">
        <f>MAX(0,C31-E31)</f>
        <v/>
      </c>
    </row>
    <row r="32">
      <c r="A32" s="43" t="n">
        <v>10</v>
      </c>
      <c r="B32" s="44" t="n">
        <v>46296</v>
      </c>
      <c r="C32" s="45">
        <f>F31</f>
        <v/>
      </c>
      <c r="D32" s="45">
        <f>MAX(0,C32*$B$9/12)</f>
        <v/>
      </c>
      <c r="E32" s="45">
        <f>MAX(0,MIN(C32,$B$10-D32))</f>
        <v/>
      </c>
      <c r="F32" s="45">
        <f>MAX(0,C32-E32)</f>
        <v/>
      </c>
    </row>
    <row r="33">
      <c r="A33" s="43" t="n">
        <v>11</v>
      </c>
      <c r="B33" s="44" t="n">
        <v>46327</v>
      </c>
      <c r="C33" s="45">
        <f>F32</f>
        <v/>
      </c>
      <c r="D33" s="45">
        <f>MAX(0,C33*$B$9/12)</f>
        <v/>
      </c>
      <c r="E33" s="45">
        <f>MAX(0,MIN(C33,$B$10-D33))</f>
        <v/>
      </c>
      <c r="F33" s="45">
        <f>MAX(0,C33-E33)</f>
        <v/>
      </c>
    </row>
    <row r="34">
      <c r="A34" s="43" t="n">
        <v>12</v>
      </c>
      <c r="B34" s="44" t="n">
        <v>46357</v>
      </c>
      <c r="C34" s="45">
        <f>F33</f>
        <v/>
      </c>
      <c r="D34" s="45">
        <f>MAX(0,C34*$B$9/12)</f>
        <v/>
      </c>
      <c r="E34" s="45">
        <f>MAX(0,MIN(C34,$B$10-D34))</f>
        <v/>
      </c>
      <c r="F34" s="45">
        <f>MAX(0,C34-E34)</f>
        <v/>
      </c>
    </row>
    <row r="35">
      <c r="A35" s="43" t="n">
        <v>13</v>
      </c>
      <c r="B35" s="44" t="n">
        <v>46388</v>
      </c>
      <c r="C35" s="45">
        <f>F34</f>
        <v/>
      </c>
      <c r="D35" s="45">
        <f>MAX(0,C35*$B$9/12)</f>
        <v/>
      </c>
      <c r="E35" s="45">
        <f>MAX(0,MIN(C35,$B$10-D35))</f>
        <v/>
      </c>
      <c r="F35" s="45">
        <f>MAX(0,C35-E35)</f>
        <v/>
      </c>
    </row>
    <row r="36">
      <c r="A36" s="43" t="n">
        <v>14</v>
      </c>
      <c r="B36" s="44" t="n">
        <v>46419</v>
      </c>
      <c r="C36" s="45">
        <f>F35</f>
        <v/>
      </c>
      <c r="D36" s="45">
        <f>MAX(0,C36*$B$9/12)</f>
        <v/>
      </c>
      <c r="E36" s="45">
        <f>MAX(0,MIN(C36,$B$10-D36))</f>
        <v/>
      </c>
      <c r="F36" s="45">
        <f>MAX(0,C36-E36)</f>
        <v/>
      </c>
    </row>
    <row r="37">
      <c r="A37" s="43" t="n">
        <v>15</v>
      </c>
      <c r="B37" s="44" t="n">
        <v>46447</v>
      </c>
      <c r="C37" s="45">
        <f>F36</f>
        <v/>
      </c>
      <c r="D37" s="45">
        <f>MAX(0,C37*$B$9/12)</f>
        <v/>
      </c>
      <c r="E37" s="45">
        <f>MAX(0,MIN(C37,$B$10-D37))</f>
        <v/>
      </c>
      <c r="F37" s="45">
        <f>MAX(0,C37-E37)</f>
        <v/>
      </c>
    </row>
    <row r="38">
      <c r="A38" s="43" t="n">
        <v>16</v>
      </c>
      <c r="B38" s="44" t="n">
        <v>46478</v>
      </c>
      <c r="C38" s="45">
        <f>F37</f>
        <v/>
      </c>
      <c r="D38" s="45">
        <f>MAX(0,C38*$B$9/12)</f>
        <v/>
      </c>
      <c r="E38" s="45">
        <f>MAX(0,MIN(C38,$B$10-D38))</f>
        <v/>
      </c>
      <c r="F38" s="45">
        <f>MAX(0,C38-E38)</f>
        <v/>
      </c>
    </row>
    <row r="39">
      <c r="A39" s="43" t="n">
        <v>17</v>
      </c>
      <c r="B39" s="44" t="n">
        <v>46508</v>
      </c>
      <c r="C39" s="45">
        <f>F38</f>
        <v/>
      </c>
      <c r="D39" s="45">
        <f>MAX(0,C39*$B$9/12)</f>
        <v/>
      </c>
      <c r="E39" s="45">
        <f>MAX(0,MIN(C39,$B$10-D39))</f>
        <v/>
      </c>
      <c r="F39" s="45">
        <f>MAX(0,C39-E39)</f>
        <v/>
      </c>
    </row>
    <row r="40">
      <c r="A40" s="43" t="n">
        <v>18</v>
      </c>
      <c r="B40" s="44" t="n">
        <v>46539</v>
      </c>
      <c r="C40" s="45">
        <f>F39</f>
        <v/>
      </c>
      <c r="D40" s="45">
        <f>MAX(0,C40*$B$9/12)</f>
        <v/>
      </c>
      <c r="E40" s="45">
        <f>MAX(0,MIN(C40,$B$10-D40))</f>
        <v/>
      </c>
      <c r="F40" s="45">
        <f>MAX(0,C40-E40)</f>
        <v/>
      </c>
    </row>
    <row r="41">
      <c r="A41" s="43" t="n">
        <v>19</v>
      </c>
      <c r="B41" s="44" t="n">
        <v>46569</v>
      </c>
      <c r="C41" s="45">
        <f>F40</f>
        <v/>
      </c>
      <c r="D41" s="45">
        <f>MAX(0,C41*$B$9/12)</f>
        <v/>
      </c>
      <c r="E41" s="45">
        <f>MAX(0,MIN(C41,$B$10-D41))</f>
        <v/>
      </c>
      <c r="F41" s="45">
        <f>MAX(0,C41-E41)</f>
        <v/>
      </c>
    </row>
    <row r="44">
      <c r="A44" s="2" t="inlineStr">
        <is>
          <t>ANNUAL SUMMARY</t>
        </is>
      </c>
    </row>
    <row r="45">
      <c r="A45" s="46" t="inlineStr">
        <is>
          <t>Year</t>
        </is>
      </c>
      <c r="B45" s="46" t="inlineStr"/>
      <c r="C45" s="46" t="inlineStr">
        <is>
          <t>Total Interest</t>
        </is>
      </c>
      <c r="D45" s="46" t="inlineStr">
        <is>
          <t>Total Principal</t>
        </is>
      </c>
      <c r="E45" s="46" t="inlineStr">
        <is>
          <t>Year-End Balance</t>
        </is>
      </c>
    </row>
    <row r="46">
      <c r="A46" s="43" t="n">
        <v>2026</v>
      </c>
      <c r="C46" s="45">
        <f>SUM(D23:D34)</f>
        <v/>
      </c>
      <c r="D46" s="45">
        <f>SUM(E23:E34)</f>
        <v/>
      </c>
      <c r="E46" s="45">
        <f>F34</f>
        <v/>
      </c>
    </row>
    <row r="47">
      <c r="A47" s="43" t="n">
        <v>2027</v>
      </c>
      <c r="C47" s="45">
        <f>SUM(D35:D41)</f>
        <v/>
      </c>
      <c r="D47" s="45">
        <f>SUM(E35:E41)</f>
        <v/>
      </c>
      <c r="E47" s="45">
        <f>F41</f>
        <v/>
      </c>
    </row>
    <row r="50">
      <c r="A50" s="20" t="inlineStr">
        <is>
          <t>DEBT SCHEDULE REFERENCE</t>
        </is>
      </c>
    </row>
    <row r="51">
      <c r="A51" s="1" t="inlineStr">
        <is>
          <t>Current Balance:</t>
        </is>
      </c>
      <c r="B51" s="26">
        <f>B8</f>
        <v/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4.xml><?xml version="1.0" encoding="utf-8"?>
<worksheet xmlns="http://schemas.openxmlformats.org/spreadsheetml/2006/main">
  <sheetPr>
    <tabColor rgb="00808080"/>
    <outlinePr summaryBelow="1" summaryRight="1"/>
    <pageSetUpPr/>
  </sheetPr>
  <dimension ref="A1:F103"/>
  <sheetViews>
    <sheetView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16" customWidth="1" min="3" max="3"/>
    <col width="14" customWidth="1" min="4" max="4"/>
    <col width="14" customWidth="1" min="5" max="5"/>
    <col width="16" customWidth="1" min="6" max="6"/>
  </cols>
  <sheetData>
    <row r="1">
      <c r="A1" s="1" t="inlineStr">
        <is>
          <t>Lender:</t>
        </is>
      </c>
      <c r="B1" s="4" t="inlineStr">
        <is>
          <t>Peapack Capital</t>
        </is>
      </c>
    </row>
    <row r="2">
      <c r="A2" s="1" t="inlineStr">
        <is>
          <t>Loan ID:</t>
        </is>
      </c>
      <c r="B2" s="4" t="inlineStr">
        <is>
          <t>05-2986-001-000-00</t>
        </is>
      </c>
    </row>
    <row r="3">
      <c r="A3" s="1" t="inlineStr">
        <is>
          <t>Description:</t>
        </is>
      </c>
      <c r="B3" s="4" t="inlineStr">
        <is>
          <t>25 Trailers</t>
        </is>
      </c>
    </row>
    <row r="4">
      <c r="A4" s="1" t="inlineStr">
        <is>
          <t>Collateral:</t>
        </is>
      </c>
      <c r="B4" s="4" t="inlineStr">
        <is>
          <t>Equipment - Trailers</t>
        </is>
      </c>
    </row>
    <row r="5">
      <c r="A5" s="1" t="inlineStr">
        <is>
          <t>Origination Date:</t>
        </is>
      </c>
      <c r="B5" s="4" t="inlineStr">
        <is>
          <t>07/22/2024</t>
        </is>
      </c>
    </row>
    <row r="6">
      <c r="A6" s="1" t="inlineStr">
        <is>
          <t>Maturity Date:</t>
        </is>
      </c>
      <c r="B6" s="4" t="inlineStr">
        <is>
          <t>07/22/2031</t>
        </is>
      </c>
    </row>
    <row r="7">
      <c r="A7" s="1" t="inlineStr">
        <is>
          <t>Original Balance:</t>
        </is>
      </c>
      <c r="B7" s="4" t="n">
        <v>1302600</v>
      </c>
    </row>
    <row r="8">
      <c r="A8" s="1" t="inlineStr">
        <is>
          <t>Current Balance (12/31/2025):</t>
        </is>
      </c>
      <c r="B8" s="4" t="n">
        <v>1082320</v>
      </c>
    </row>
    <row r="9">
      <c r="A9" s="1" t="inlineStr">
        <is>
          <t>Annual Interest Rate:</t>
        </is>
      </c>
      <c r="B9" s="4" t="n">
        <v>0.0619</v>
      </c>
    </row>
    <row r="10">
      <c r="A10" s="1" t="inlineStr">
        <is>
          <t>Monthly Payment:</t>
        </is>
      </c>
      <c r="B10" s="4" t="n">
        <v>19147</v>
      </c>
    </row>
    <row r="12">
      <c r="A12" s="20" t="inlineStr">
        <is>
          <t>AI ANALYSIS</t>
        </is>
      </c>
    </row>
    <row r="13">
      <c r="A13" s="9" t="inlineStr">
        <is>
          <t>Loan Type: AMORTIZING</t>
        </is>
      </c>
    </row>
    <row r="14">
      <c r="A14" s="9" t="inlineStr">
        <is>
          <t>Amortization: Standard fixed-payment amortization</t>
        </is>
      </c>
    </row>
    <row r="15">
      <c r="A15" s="9" t="inlineStr">
        <is>
          <t>Collateral Type: Equipment - Trailers</t>
        </is>
      </c>
    </row>
    <row r="16">
      <c r="A16" s="9" t="inlineStr">
        <is>
          <t>Remaining term calculated from current balance</t>
        </is>
      </c>
    </row>
    <row r="17">
      <c r="A17" s="9" t="inlineStr">
        <is>
          <t>Interest = MAX(0, Opening * Rate/12)</t>
        </is>
      </c>
    </row>
    <row r="18">
      <c r="A18" s="9" t="inlineStr">
        <is>
          <t>Principal = MAX(0, MIN(Opening, Payment - Interest))</t>
        </is>
      </c>
    </row>
    <row r="19">
      <c r="A19" s="9" t="inlineStr">
        <is>
          <t>Closing = MAX(0, Opening - Principal)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43" t="n">
        <v>1</v>
      </c>
      <c r="B23" s="44" t="n">
        <v>46023</v>
      </c>
      <c r="C23" s="45">
        <f>B8</f>
        <v/>
      </c>
      <c r="D23" s="45">
        <f>MAX(0,C23*$B$9/12)</f>
        <v/>
      </c>
      <c r="E23" s="45">
        <f>MAX(0,MIN(C23,$B$10-D23))</f>
        <v/>
      </c>
      <c r="F23" s="45">
        <f>MAX(0,C23-E23)</f>
        <v/>
      </c>
    </row>
    <row r="24">
      <c r="A24" s="43" t="n">
        <v>2</v>
      </c>
      <c r="B24" s="44" t="n">
        <v>46054</v>
      </c>
      <c r="C24" s="45">
        <f>F23</f>
        <v/>
      </c>
      <c r="D24" s="45">
        <f>MAX(0,C24*$B$9/12)</f>
        <v/>
      </c>
      <c r="E24" s="45">
        <f>MAX(0,MIN(C24,$B$10-D24))</f>
        <v/>
      </c>
      <c r="F24" s="45">
        <f>MAX(0,C24-E24)</f>
        <v/>
      </c>
    </row>
    <row r="25">
      <c r="A25" s="43" t="n">
        <v>3</v>
      </c>
      <c r="B25" s="44" t="n">
        <v>46082</v>
      </c>
      <c r="C25" s="45">
        <f>F24</f>
        <v/>
      </c>
      <c r="D25" s="45">
        <f>MAX(0,C25*$B$9/12)</f>
        <v/>
      </c>
      <c r="E25" s="45">
        <f>MAX(0,MIN(C25,$B$10-D25))</f>
        <v/>
      </c>
      <c r="F25" s="45">
        <f>MAX(0,C25-E25)</f>
        <v/>
      </c>
    </row>
    <row r="26">
      <c r="A26" s="43" t="n">
        <v>4</v>
      </c>
      <c r="B26" s="44" t="n">
        <v>46113</v>
      </c>
      <c r="C26" s="45">
        <f>F25</f>
        <v/>
      </c>
      <c r="D26" s="45">
        <f>MAX(0,C26*$B$9/12)</f>
        <v/>
      </c>
      <c r="E26" s="45">
        <f>MAX(0,MIN(C26,$B$10-D26))</f>
        <v/>
      </c>
      <c r="F26" s="45">
        <f>MAX(0,C26-E26)</f>
        <v/>
      </c>
    </row>
    <row r="27">
      <c r="A27" s="43" t="n">
        <v>5</v>
      </c>
      <c r="B27" s="44" t="n">
        <v>46143</v>
      </c>
      <c r="C27" s="45">
        <f>F26</f>
        <v/>
      </c>
      <c r="D27" s="45">
        <f>MAX(0,C27*$B$9/12)</f>
        <v/>
      </c>
      <c r="E27" s="45">
        <f>MAX(0,MIN(C27,$B$10-D27))</f>
        <v/>
      </c>
      <c r="F27" s="45">
        <f>MAX(0,C27-E27)</f>
        <v/>
      </c>
    </row>
    <row r="28">
      <c r="A28" s="43" t="n">
        <v>6</v>
      </c>
      <c r="B28" s="44" t="n">
        <v>46174</v>
      </c>
      <c r="C28" s="45">
        <f>F27</f>
        <v/>
      </c>
      <c r="D28" s="45">
        <f>MAX(0,C28*$B$9/12)</f>
        <v/>
      </c>
      <c r="E28" s="45">
        <f>MAX(0,MIN(C28,$B$10-D28))</f>
        <v/>
      </c>
      <c r="F28" s="45">
        <f>MAX(0,C28-E28)</f>
        <v/>
      </c>
    </row>
    <row r="29">
      <c r="A29" s="43" t="n">
        <v>7</v>
      </c>
      <c r="B29" s="44" t="n">
        <v>46204</v>
      </c>
      <c r="C29" s="45">
        <f>F28</f>
        <v/>
      </c>
      <c r="D29" s="45">
        <f>MAX(0,C29*$B$9/12)</f>
        <v/>
      </c>
      <c r="E29" s="45">
        <f>MAX(0,MIN(C29,$B$10-D29))</f>
        <v/>
      </c>
      <c r="F29" s="45">
        <f>MAX(0,C29-E29)</f>
        <v/>
      </c>
    </row>
    <row r="30">
      <c r="A30" s="43" t="n">
        <v>8</v>
      </c>
      <c r="B30" s="44" t="n">
        <v>46235</v>
      </c>
      <c r="C30" s="45">
        <f>F29</f>
        <v/>
      </c>
      <c r="D30" s="45">
        <f>MAX(0,C30*$B$9/12)</f>
        <v/>
      </c>
      <c r="E30" s="45">
        <f>MAX(0,MIN(C30,$B$10-D30))</f>
        <v/>
      </c>
      <c r="F30" s="45">
        <f>MAX(0,C30-E30)</f>
        <v/>
      </c>
    </row>
    <row r="31">
      <c r="A31" s="43" t="n">
        <v>9</v>
      </c>
      <c r="B31" s="44" t="n">
        <v>46266</v>
      </c>
      <c r="C31" s="45">
        <f>F30</f>
        <v/>
      </c>
      <c r="D31" s="45">
        <f>MAX(0,C31*$B$9/12)</f>
        <v/>
      </c>
      <c r="E31" s="45">
        <f>MAX(0,MIN(C31,$B$10-D31))</f>
        <v/>
      </c>
      <c r="F31" s="45">
        <f>MAX(0,C31-E31)</f>
        <v/>
      </c>
    </row>
    <row r="32">
      <c r="A32" s="43" t="n">
        <v>10</v>
      </c>
      <c r="B32" s="44" t="n">
        <v>46296</v>
      </c>
      <c r="C32" s="45">
        <f>F31</f>
        <v/>
      </c>
      <c r="D32" s="45">
        <f>MAX(0,C32*$B$9/12)</f>
        <v/>
      </c>
      <c r="E32" s="45">
        <f>MAX(0,MIN(C32,$B$10-D32))</f>
        <v/>
      </c>
      <c r="F32" s="45">
        <f>MAX(0,C32-E32)</f>
        <v/>
      </c>
    </row>
    <row r="33">
      <c r="A33" s="43" t="n">
        <v>11</v>
      </c>
      <c r="B33" s="44" t="n">
        <v>46327</v>
      </c>
      <c r="C33" s="45">
        <f>F32</f>
        <v/>
      </c>
      <c r="D33" s="45">
        <f>MAX(0,C33*$B$9/12)</f>
        <v/>
      </c>
      <c r="E33" s="45">
        <f>MAX(0,MIN(C33,$B$10-D33))</f>
        <v/>
      </c>
      <c r="F33" s="45">
        <f>MAX(0,C33-E33)</f>
        <v/>
      </c>
    </row>
    <row r="34">
      <c r="A34" s="43" t="n">
        <v>12</v>
      </c>
      <c r="B34" s="44" t="n">
        <v>46357</v>
      </c>
      <c r="C34" s="45">
        <f>F33</f>
        <v/>
      </c>
      <c r="D34" s="45">
        <f>MAX(0,C34*$B$9/12)</f>
        <v/>
      </c>
      <c r="E34" s="45">
        <f>MAX(0,MIN(C34,$B$10-D34))</f>
        <v/>
      </c>
      <c r="F34" s="45">
        <f>MAX(0,C34-E34)</f>
        <v/>
      </c>
    </row>
    <row r="35">
      <c r="A35" s="43" t="n">
        <v>13</v>
      </c>
      <c r="B35" s="44" t="n">
        <v>46388</v>
      </c>
      <c r="C35" s="45">
        <f>F34</f>
        <v/>
      </c>
      <c r="D35" s="45">
        <f>MAX(0,C35*$B$9/12)</f>
        <v/>
      </c>
      <c r="E35" s="45">
        <f>MAX(0,MIN(C35,$B$10-D35))</f>
        <v/>
      </c>
      <c r="F35" s="45">
        <f>MAX(0,C35-E35)</f>
        <v/>
      </c>
    </row>
    <row r="36">
      <c r="A36" s="43" t="n">
        <v>14</v>
      </c>
      <c r="B36" s="44" t="n">
        <v>46419</v>
      </c>
      <c r="C36" s="45">
        <f>F35</f>
        <v/>
      </c>
      <c r="D36" s="45">
        <f>MAX(0,C36*$B$9/12)</f>
        <v/>
      </c>
      <c r="E36" s="45">
        <f>MAX(0,MIN(C36,$B$10-D36))</f>
        <v/>
      </c>
      <c r="F36" s="45">
        <f>MAX(0,C36-E36)</f>
        <v/>
      </c>
    </row>
    <row r="37">
      <c r="A37" s="43" t="n">
        <v>15</v>
      </c>
      <c r="B37" s="44" t="n">
        <v>46447</v>
      </c>
      <c r="C37" s="45">
        <f>F36</f>
        <v/>
      </c>
      <c r="D37" s="45">
        <f>MAX(0,C37*$B$9/12)</f>
        <v/>
      </c>
      <c r="E37" s="45">
        <f>MAX(0,MIN(C37,$B$10-D37))</f>
        <v/>
      </c>
      <c r="F37" s="45">
        <f>MAX(0,C37-E37)</f>
        <v/>
      </c>
    </row>
    <row r="38">
      <c r="A38" s="43" t="n">
        <v>16</v>
      </c>
      <c r="B38" s="44" t="n">
        <v>46478</v>
      </c>
      <c r="C38" s="45">
        <f>F37</f>
        <v/>
      </c>
      <c r="D38" s="45">
        <f>MAX(0,C38*$B$9/12)</f>
        <v/>
      </c>
      <c r="E38" s="45">
        <f>MAX(0,MIN(C38,$B$10-D38))</f>
        <v/>
      </c>
      <c r="F38" s="45">
        <f>MAX(0,C38-E38)</f>
        <v/>
      </c>
    </row>
    <row r="39">
      <c r="A39" s="43" t="n">
        <v>17</v>
      </c>
      <c r="B39" s="44" t="n">
        <v>46508</v>
      </c>
      <c r="C39" s="45">
        <f>F38</f>
        <v/>
      </c>
      <c r="D39" s="45">
        <f>MAX(0,C39*$B$9/12)</f>
        <v/>
      </c>
      <c r="E39" s="45">
        <f>MAX(0,MIN(C39,$B$10-D39))</f>
        <v/>
      </c>
      <c r="F39" s="45">
        <f>MAX(0,C39-E39)</f>
        <v/>
      </c>
    </row>
    <row r="40">
      <c r="A40" s="43" t="n">
        <v>18</v>
      </c>
      <c r="B40" s="44" t="n">
        <v>46539</v>
      </c>
      <c r="C40" s="45">
        <f>F39</f>
        <v/>
      </c>
      <c r="D40" s="45">
        <f>MAX(0,C40*$B$9/12)</f>
        <v/>
      </c>
      <c r="E40" s="45">
        <f>MAX(0,MIN(C40,$B$10-D40))</f>
        <v/>
      </c>
      <c r="F40" s="45">
        <f>MAX(0,C40-E40)</f>
        <v/>
      </c>
    </row>
    <row r="41">
      <c r="A41" s="43" t="n">
        <v>19</v>
      </c>
      <c r="B41" s="44" t="n">
        <v>46569</v>
      </c>
      <c r="C41" s="45">
        <f>F40</f>
        <v/>
      </c>
      <c r="D41" s="45">
        <f>MAX(0,C41*$B$9/12)</f>
        <v/>
      </c>
      <c r="E41" s="45">
        <f>MAX(0,MIN(C41,$B$10-D41))</f>
        <v/>
      </c>
      <c r="F41" s="45">
        <f>MAX(0,C41-E41)</f>
        <v/>
      </c>
    </row>
    <row r="42">
      <c r="A42" s="43" t="n">
        <v>20</v>
      </c>
      <c r="B42" s="44" t="n">
        <v>46600</v>
      </c>
      <c r="C42" s="45">
        <f>F41</f>
        <v/>
      </c>
      <c r="D42" s="45">
        <f>MAX(0,C42*$B$9/12)</f>
        <v/>
      </c>
      <c r="E42" s="45">
        <f>MAX(0,MIN(C42,$B$10-D42))</f>
        <v/>
      </c>
      <c r="F42" s="45">
        <f>MAX(0,C42-E42)</f>
        <v/>
      </c>
    </row>
    <row r="43">
      <c r="A43" s="43" t="n">
        <v>21</v>
      </c>
      <c r="B43" s="44" t="n">
        <v>46631</v>
      </c>
      <c r="C43" s="45">
        <f>F42</f>
        <v/>
      </c>
      <c r="D43" s="45">
        <f>MAX(0,C43*$B$9/12)</f>
        <v/>
      </c>
      <c r="E43" s="45">
        <f>MAX(0,MIN(C43,$B$10-D43))</f>
        <v/>
      </c>
      <c r="F43" s="45">
        <f>MAX(0,C43-E43)</f>
        <v/>
      </c>
    </row>
    <row r="44">
      <c r="A44" s="43" t="n">
        <v>22</v>
      </c>
      <c r="B44" s="44" t="n">
        <v>46661</v>
      </c>
      <c r="C44" s="45">
        <f>F43</f>
        <v/>
      </c>
      <c r="D44" s="45">
        <f>MAX(0,C44*$B$9/12)</f>
        <v/>
      </c>
      <c r="E44" s="45">
        <f>MAX(0,MIN(C44,$B$10-D44))</f>
        <v/>
      </c>
      <c r="F44" s="45">
        <f>MAX(0,C44-E44)</f>
        <v/>
      </c>
    </row>
    <row r="45">
      <c r="A45" s="43" t="n">
        <v>23</v>
      </c>
      <c r="B45" s="44" t="n">
        <v>46692</v>
      </c>
      <c r="C45" s="45">
        <f>F44</f>
        <v/>
      </c>
      <c r="D45" s="45">
        <f>MAX(0,C45*$B$9/12)</f>
        <v/>
      </c>
      <c r="E45" s="45">
        <f>MAX(0,MIN(C45,$B$10-D45))</f>
        <v/>
      </c>
      <c r="F45" s="45">
        <f>MAX(0,C45-E45)</f>
        <v/>
      </c>
    </row>
    <row r="46">
      <c r="A46" s="43" t="n">
        <v>24</v>
      </c>
      <c r="B46" s="44" t="n">
        <v>46722</v>
      </c>
      <c r="C46" s="45">
        <f>F45</f>
        <v/>
      </c>
      <c r="D46" s="45">
        <f>MAX(0,C46*$B$9/12)</f>
        <v/>
      </c>
      <c r="E46" s="45">
        <f>MAX(0,MIN(C46,$B$10-D46))</f>
        <v/>
      </c>
      <c r="F46" s="45">
        <f>MAX(0,C46-E46)</f>
        <v/>
      </c>
    </row>
    <row r="47">
      <c r="A47" s="43" t="n">
        <v>25</v>
      </c>
      <c r="B47" s="44" t="n">
        <v>46753</v>
      </c>
      <c r="C47" s="45">
        <f>F46</f>
        <v/>
      </c>
      <c r="D47" s="45">
        <f>MAX(0,C47*$B$9/12)</f>
        <v/>
      </c>
      <c r="E47" s="45">
        <f>MAX(0,MIN(C47,$B$10-D47))</f>
        <v/>
      </c>
      <c r="F47" s="45">
        <f>MAX(0,C47-E47)</f>
        <v/>
      </c>
    </row>
    <row r="48">
      <c r="A48" s="43" t="n">
        <v>26</v>
      </c>
      <c r="B48" s="44" t="n">
        <v>46784</v>
      </c>
      <c r="C48" s="45">
        <f>F47</f>
        <v/>
      </c>
      <c r="D48" s="45">
        <f>MAX(0,C48*$B$9/12)</f>
        <v/>
      </c>
      <c r="E48" s="45">
        <f>MAX(0,MIN(C48,$B$10-D48))</f>
        <v/>
      </c>
      <c r="F48" s="45">
        <f>MAX(0,C48-E48)</f>
        <v/>
      </c>
    </row>
    <row r="49">
      <c r="A49" s="43" t="n">
        <v>27</v>
      </c>
      <c r="B49" s="44" t="n">
        <v>46813</v>
      </c>
      <c r="C49" s="45">
        <f>F48</f>
        <v/>
      </c>
      <c r="D49" s="45">
        <f>MAX(0,C49*$B$9/12)</f>
        <v/>
      </c>
      <c r="E49" s="45">
        <f>MAX(0,MIN(C49,$B$10-D49))</f>
        <v/>
      </c>
      <c r="F49" s="45">
        <f>MAX(0,C49-E49)</f>
        <v/>
      </c>
    </row>
    <row r="50">
      <c r="A50" s="43" t="n">
        <v>28</v>
      </c>
      <c r="B50" s="44" t="n">
        <v>46844</v>
      </c>
      <c r="C50" s="45">
        <f>F49</f>
        <v/>
      </c>
      <c r="D50" s="45">
        <f>MAX(0,C50*$B$9/12)</f>
        <v/>
      </c>
      <c r="E50" s="45">
        <f>MAX(0,MIN(C50,$B$10-D50))</f>
        <v/>
      </c>
      <c r="F50" s="45">
        <f>MAX(0,C50-E50)</f>
        <v/>
      </c>
    </row>
    <row r="51">
      <c r="A51" s="43" t="n">
        <v>29</v>
      </c>
      <c r="B51" s="44" t="n">
        <v>46874</v>
      </c>
      <c r="C51" s="45">
        <f>F50</f>
        <v/>
      </c>
      <c r="D51" s="45">
        <f>MAX(0,C51*$B$9/12)</f>
        <v/>
      </c>
      <c r="E51" s="45">
        <f>MAX(0,MIN(C51,$B$10-D51))</f>
        <v/>
      </c>
      <c r="F51" s="45">
        <f>MAX(0,C51-E51)</f>
        <v/>
      </c>
    </row>
    <row r="52">
      <c r="A52" s="43" t="n">
        <v>30</v>
      </c>
      <c r="B52" s="44" t="n">
        <v>46905</v>
      </c>
      <c r="C52" s="45">
        <f>F51</f>
        <v/>
      </c>
      <c r="D52" s="45">
        <f>MAX(0,C52*$B$9/12)</f>
        <v/>
      </c>
      <c r="E52" s="45">
        <f>MAX(0,MIN(C52,$B$10-D52))</f>
        <v/>
      </c>
      <c r="F52" s="45">
        <f>MAX(0,C52-E52)</f>
        <v/>
      </c>
    </row>
    <row r="53">
      <c r="A53" s="43" t="n">
        <v>31</v>
      </c>
      <c r="B53" s="44" t="n">
        <v>46935</v>
      </c>
      <c r="C53" s="45">
        <f>F52</f>
        <v/>
      </c>
      <c r="D53" s="45">
        <f>MAX(0,C53*$B$9/12)</f>
        <v/>
      </c>
      <c r="E53" s="45">
        <f>MAX(0,MIN(C53,$B$10-D53))</f>
        <v/>
      </c>
      <c r="F53" s="45">
        <f>MAX(0,C53-E53)</f>
        <v/>
      </c>
    </row>
    <row r="54">
      <c r="A54" s="43" t="n">
        <v>32</v>
      </c>
      <c r="B54" s="44" t="n">
        <v>46966</v>
      </c>
      <c r="C54" s="45">
        <f>F53</f>
        <v/>
      </c>
      <c r="D54" s="45">
        <f>MAX(0,C54*$B$9/12)</f>
        <v/>
      </c>
      <c r="E54" s="45">
        <f>MAX(0,MIN(C54,$B$10-D54))</f>
        <v/>
      </c>
      <c r="F54" s="45">
        <f>MAX(0,C54-E54)</f>
        <v/>
      </c>
    </row>
    <row r="55">
      <c r="A55" s="43" t="n">
        <v>33</v>
      </c>
      <c r="B55" s="44" t="n">
        <v>46997</v>
      </c>
      <c r="C55" s="45">
        <f>F54</f>
        <v/>
      </c>
      <c r="D55" s="45">
        <f>MAX(0,C55*$B$9/12)</f>
        <v/>
      </c>
      <c r="E55" s="45">
        <f>MAX(0,MIN(C55,$B$10-D55))</f>
        <v/>
      </c>
      <c r="F55" s="45">
        <f>MAX(0,C55-E55)</f>
        <v/>
      </c>
    </row>
    <row r="56">
      <c r="A56" s="43" t="n">
        <v>34</v>
      </c>
      <c r="B56" s="44" t="n">
        <v>47027</v>
      </c>
      <c r="C56" s="45">
        <f>F55</f>
        <v/>
      </c>
      <c r="D56" s="45">
        <f>MAX(0,C56*$B$9/12)</f>
        <v/>
      </c>
      <c r="E56" s="45">
        <f>MAX(0,MIN(C56,$B$10-D56))</f>
        <v/>
      </c>
      <c r="F56" s="45">
        <f>MAX(0,C56-E56)</f>
        <v/>
      </c>
    </row>
    <row r="57">
      <c r="A57" s="43" t="n">
        <v>35</v>
      </c>
      <c r="B57" s="44" t="n">
        <v>47058</v>
      </c>
      <c r="C57" s="45">
        <f>F56</f>
        <v/>
      </c>
      <c r="D57" s="45">
        <f>MAX(0,C57*$B$9/12)</f>
        <v/>
      </c>
      <c r="E57" s="45">
        <f>MAX(0,MIN(C57,$B$10-D57))</f>
        <v/>
      </c>
      <c r="F57" s="45">
        <f>MAX(0,C57-E57)</f>
        <v/>
      </c>
    </row>
    <row r="58">
      <c r="A58" s="43" t="n">
        <v>36</v>
      </c>
      <c r="B58" s="44" t="n">
        <v>47088</v>
      </c>
      <c r="C58" s="45">
        <f>F57</f>
        <v/>
      </c>
      <c r="D58" s="45">
        <f>MAX(0,C58*$B$9/12)</f>
        <v/>
      </c>
      <c r="E58" s="45">
        <f>MAX(0,MIN(C58,$B$10-D58))</f>
        <v/>
      </c>
      <c r="F58" s="45">
        <f>MAX(0,C58-E58)</f>
        <v/>
      </c>
    </row>
    <row r="59">
      <c r="A59" s="43" t="n">
        <v>37</v>
      </c>
      <c r="B59" s="44" t="n">
        <v>47119</v>
      </c>
      <c r="C59" s="45">
        <f>F58</f>
        <v/>
      </c>
      <c r="D59" s="45">
        <f>MAX(0,C59*$B$9/12)</f>
        <v/>
      </c>
      <c r="E59" s="45">
        <f>MAX(0,MIN(C59,$B$10-D59))</f>
        <v/>
      </c>
      <c r="F59" s="45">
        <f>MAX(0,C59-E59)</f>
        <v/>
      </c>
    </row>
    <row r="60">
      <c r="A60" s="43" t="n">
        <v>38</v>
      </c>
      <c r="B60" s="44" t="n">
        <v>47150</v>
      </c>
      <c r="C60" s="45">
        <f>F59</f>
        <v/>
      </c>
      <c r="D60" s="45">
        <f>MAX(0,C60*$B$9/12)</f>
        <v/>
      </c>
      <c r="E60" s="45">
        <f>MAX(0,MIN(C60,$B$10-D60))</f>
        <v/>
      </c>
      <c r="F60" s="45">
        <f>MAX(0,C60-E60)</f>
        <v/>
      </c>
    </row>
    <row r="61">
      <c r="A61" s="43" t="n">
        <v>39</v>
      </c>
      <c r="B61" s="44" t="n">
        <v>47178</v>
      </c>
      <c r="C61" s="45">
        <f>F60</f>
        <v/>
      </c>
      <c r="D61" s="45">
        <f>MAX(0,C61*$B$9/12)</f>
        <v/>
      </c>
      <c r="E61" s="45">
        <f>MAX(0,MIN(C61,$B$10-D61))</f>
        <v/>
      </c>
      <c r="F61" s="45">
        <f>MAX(0,C61-E61)</f>
        <v/>
      </c>
    </row>
    <row r="62">
      <c r="A62" s="43" t="n">
        <v>40</v>
      </c>
      <c r="B62" s="44" t="n">
        <v>47209</v>
      </c>
      <c r="C62" s="45">
        <f>F61</f>
        <v/>
      </c>
      <c r="D62" s="45">
        <f>MAX(0,C62*$B$9/12)</f>
        <v/>
      </c>
      <c r="E62" s="45">
        <f>MAX(0,MIN(C62,$B$10-D62))</f>
        <v/>
      </c>
      <c r="F62" s="45">
        <f>MAX(0,C62-E62)</f>
        <v/>
      </c>
    </row>
    <row r="63">
      <c r="A63" s="43" t="n">
        <v>41</v>
      </c>
      <c r="B63" s="44" t="n">
        <v>47239</v>
      </c>
      <c r="C63" s="45">
        <f>F62</f>
        <v/>
      </c>
      <c r="D63" s="45">
        <f>MAX(0,C63*$B$9/12)</f>
        <v/>
      </c>
      <c r="E63" s="45">
        <f>MAX(0,MIN(C63,$B$10-D63))</f>
        <v/>
      </c>
      <c r="F63" s="45">
        <f>MAX(0,C63-E63)</f>
        <v/>
      </c>
    </row>
    <row r="64">
      <c r="A64" s="43" t="n">
        <v>42</v>
      </c>
      <c r="B64" s="44" t="n">
        <v>47270</v>
      </c>
      <c r="C64" s="45">
        <f>F63</f>
        <v/>
      </c>
      <c r="D64" s="45">
        <f>MAX(0,C64*$B$9/12)</f>
        <v/>
      </c>
      <c r="E64" s="45">
        <f>MAX(0,MIN(C64,$B$10-D64))</f>
        <v/>
      </c>
      <c r="F64" s="45">
        <f>MAX(0,C64-E64)</f>
        <v/>
      </c>
    </row>
    <row r="65">
      <c r="A65" s="43" t="n">
        <v>43</v>
      </c>
      <c r="B65" s="44" t="n">
        <v>47300</v>
      </c>
      <c r="C65" s="45">
        <f>F64</f>
        <v/>
      </c>
      <c r="D65" s="45">
        <f>MAX(0,C65*$B$9/12)</f>
        <v/>
      </c>
      <c r="E65" s="45">
        <f>MAX(0,MIN(C65,$B$10-D65))</f>
        <v/>
      </c>
      <c r="F65" s="45">
        <f>MAX(0,C65-E65)</f>
        <v/>
      </c>
    </row>
    <row r="66">
      <c r="A66" s="43" t="n">
        <v>44</v>
      </c>
      <c r="B66" s="44" t="n">
        <v>47331</v>
      </c>
      <c r="C66" s="45">
        <f>F65</f>
        <v/>
      </c>
      <c r="D66" s="45">
        <f>MAX(0,C66*$B$9/12)</f>
        <v/>
      </c>
      <c r="E66" s="45">
        <f>MAX(0,MIN(C66,$B$10-D66))</f>
        <v/>
      </c>
      <c r="F66" s="45">
        <f>MAX(0,C66-E66)</f>
        <v/>
      </c>
    </row>
    <row r="67">
      <c r="A67" s="43" t="n">
        <v>45</v>
      </c>
      <c r="B67" s="44" t="n">
        <v>47362</v>
      </c>
      <c r="C67" s="45">
        <f>F66</f>
        <v/>
      </c>
      <c r="D67" s="45">
        <f>MAX(0,C67*$B$9/12)</f>
        <v/>
      </c>
      <c r="E67" s="45">
        <f>MAX(0,MIN(C67,$B$10-D67))</f>
        <v/>
      </c>
      <c r="F67" s="45">
        <f>MAX(0,C67-E67)</f>
        <v/>
      </c>
    </row>
    <row r="68">
      <c r="A68" s="43" t="n">
        <v>46</v>
      </c>
      <c r="B68" s="44" t="n">
        <v>47392</v>
      </c>
      <c r="C68" s="45">
        <f>F67</f>
        <v/>
      </c>
      <c r="D68" s="45">
        <f>MAX(0,C68*$B$9/12)</f>
        <v/>
      </c>
      <c r="E68" s="45">
        <f>MAX(0,MIN(C68,$B$10-D68))</f>
        <v/>
      </c>
      <c r="F68" s="45">
        <f>MAX(0,C68-E68)</f>
        <v/>
      </c>
    </row>
    <row r="69">
      <c r="A69" s="43" t="n">
        <v>47</v>
      </c>
      <c r="B69" s="44" t="n">
        <v>47423</v>
      </c>
      <c r="C69" s="45">
        <f>F68</f>
        <v/>
      </c>
      <c r="D69" s="45">
        <f>MAX(0,C69*$B$9/12)</f>
        <v/>
      </c>
      <c r="E69" s="45">
        <f>MAX(0,MIN(C69,$B$10-D69))</f>
        <v/>
      </c>
      <c r="F69" s="45">
        <f>MAX(0,C69-E69)</f>
        <v/>
      </c>
    </row>
    <row r="70">
      <c r="A70" s="43" t="n">
        <v>48</v>
      </c>
      <c r="B70" s="44" t="n">
        <v>47453</v>
      </c>
      <c r="C70" s="45">
        <f>F69</f>
        <v/>
      </c>
      <c r="D70" s="45">
        <f>MAX(0,C70*$B$9/12)</f>
        <v/>
      </c>
      <c r="E70" s="45">
        <f>MAX(0,MIN(C70,$B$10-D70))</f>
        <v/>
      </c>
      <c r="F70" s="45">
        <f>MAX(0,C70-E70)</f>
        <v/>
      </c>
    </row>
    <row r="71">
      <c r="A71" s="43" t="n">
        <v>49</v>
      </c>
      <c r="B71" s="44" t="n">
        <v>47484</v>
      </c>
      <c r="C71" s="45">
        <f>F70</f>
        <v/>
      </c>
      <c r="D71" s="45">
        <f>MAX(0,C71*$B$9/12)</f>
        <v/>
      </c>
      <c r="E71" s="45">
        <f>MAX(0,MIN(C71,$B$10-D71))</f>
        <v/>
      </c>
      <c r="F71" s="45">
        <f>MAX(0,C71-E71)</f>
        <v/>
      </c>
    </row>
    <row r="72">
      <c r="A72" s="43" t="n">
        <v>50</v>
      </c>
      <c r="B72" s="44" t="n">
        <v>47515</v>
      </c>
      <c r="C72" s="45">
        <f>F71</f>
        <v/>
      </c>
      <c r="D72" s="45">
        <f>MAX(0,C72*$B$9/12)</f>
        <v/>
      </c>
      <c r="E72" s="45">
        <f>MAX(0,MIN(C72,$B$10-D72))</f>
        <v/>
      </c>
      <c r="F72" s="45">
        <f>MAX(0,C72-E72)</f>
        <v/>
      </c>
    </row>
    <row r="73">
      <c r="A73" s="43" t="n">
        <v>51</v>
      </c>
      <c r="B73" s="44" t="n">
        <v>47543</v>
      </c>
      <c r="C73" s="45">
        <f>F72</f>
        <v/>
      </c>
      <c r="D73" s="45">
        <f>MAX(0,C73*$B$9/12)</f>
        <v/>
      </c>
      <c r="E73" s="45">
        <f>MAX(0,MIN(C73,$B$10-D73))</f>
        <v/>
      </c>
      <c r="F73" s="45">
        <f>MAX(0,C73-E73)</f>
        <v/>
      </c>
    </row>
    <row r="74">
      <c r="A74" s="43" t="n">
        <v>52</v>
      </c>
      <c r="B74" s="44" t="n">
        <v>47574</v>
      </c>
      <c r="C74" s="45">
        <f>F73</f>
        <v/>
      </c>
      <c r="D74" s="45">
        <f>MAX(0,C74*$B$9/12)</f>
        <v/>
      </c>
      <c r="E74" s="45">
        <f>MAX(0,MIN(C74,$B$10-D74))</f>
        <v/>
      </c>
      <c r="F74" s="45">
        <f>MAX(0,C74-E74)</f>
        <v/>
      </c>
    </row>
    <row r="75">
      <c r="A75" s="43" t="n">
        <v>53</v>
      </c>
      <c r="B75" s="44" t="n">
        <v>47604</v>
      </c>
      <c r="C75" s="45">
        <f>F74</f>
        <v/>
      </c>
      <c r="D75" s="45">
        <f>MAX(0,C75*$B$9/12)</f>
        <v/>
      </c>
      <c r="E75" s="45">
        <f>MAX(0,MIN(C75,$B$10-D75))</f>
        <v/>
      </c>
      <c r="F75" s="45">
        <f>MAX(0,C75-E75)</f>
        <v/>
      </c>
    </row>
    <row r="76">
      <c r="A76" s="43" t="n">
        <v>54</v>
      </c>
      <c r="B76" s="44" t="n">
        <v>47635</v>
      </c>
      <c r="C76" s="45">
        <f>F75</f>
        <v/>
      </c>
      <c r="D76" s="45">
        <f>MAX(0,C76*$B$9/12)</f>
        <v/>
      </c>
      <c r="E76" s="45">
        <f>MAX(0,MIN(C76,$B$10-D76))</f>
        <v/>
      </c>
      <c r="F76" s="45">
        <f>MAX(0,C76-E76)</f>
        <v/>
      </c>
    </row>
    <row r="77">
      <c r="A77" s="43" t="n">
        <v>55</v>
      </c>
      <c r="B77" s="44" t="n">
        <v>47665</v>
      </c>
      <c r="C77" s="45">
        <f>F76</f>
        <v/>
      </c>
      <c r="D77" s="45">
        <f>MAX(0,C77*$B$9/12)</f>
        <v/>
      </c>
      <c r="E77" s="45">
        <f>MAX(0,MIN(C77,$B$10-D77))</f>
        <v/>
      </c>
      <c r="F77" s="45">
        <f>MAX(0,C77-E77)</f>
        <v/>
      </c>
    </row>
    <row r="78">
      <c r="A78" s="43" t="n">
        <v>56</v>
      </c>
      <c r="B78" s="44" t="n">
        <v>47696</v>
      </c>
      <c r="C78" s="45">
        <f>F77</f>
        <v/>
      </c>
      <c r="D78" s="45">
        <f>MAX(0,C78*$B$9/12)</f>
        <v/>
      </c>
      <c r="E78" s="45">
        <f>MAX(0,MIN(C78,$B$10-D78))</f>
        <v/>
      </c>
      <c r="F78" s="45">
        <f>MAX(0,C78-E78)</f>
        <v/>
      </c>
    </row>
    <row r="79">
      <c r="A79" s="43" t="n">
        <v>57</v>
      </c>
      <c r="B79" s="44" t="n">
        <v>47727</v>
      </c>
      <c r="C79" s="45">
        <f>F78</f>
        <v/>
      </c>
      <c r="D79" s="45">
        <f>MAX(0,C79*$B$9/12)</f>
        <v/>
      </c>
      <c r="E79" s="45">
        <f>MAX(0,MIN(C79,$B$10-D79))</f>
        <v/>
      </c>
      <c r="F79" s="45">
        <f>MAX(0,C79-E79)</f>
        <v/>
      </c>
    </row>
    <row r="80">
      <c r="A80" s="43" t="n">
        <v>58</v>
      </c>
      <c r="B80" s="44" t="n">
        <v>47757</v>
      </c>
      <c r="C80" s="45">
        <f>F79</f>
        <v/>
      </c>
      <c r="D80" s="45">
        <f>MAX(0,C80*$B$9/12)</f>
        <v/>
      </c>
      <c r="E80" s="45">
        <f>MAX(0,MIN(C80,$B$10-D80))</f>
        <v/>
      </c>
      <c r="F80" s="45">
        <f>MAX(0,C80-E80)</f>
        <v/>
      </c>
    </row>
    <row r="81">
      <c r="A81" s="43" t="n">
        <v>59</v>
      </c>
      <c r="B81" s="44" t="n">
        <v>47788</v>
      </c>
      <c r="C81" s="45">
        <f>F80</f>
        <v/>
      </c>
      <c r="D81" s="45">
        <f>MAX(0,C81*$B$9/12)</f>
        <v/>
      </c>
      <c r="E81" s="45">
        <f>MAX(0,MIN(C81,$B$10-D81))</f>
        <v/>
      </c>
      <c r="F81" s="45">
        <f>MAX(0,C81-E81)</f>
        <v/>
      </c>
    </row>
    <row r="82">
      <c r="A82" s="43" t="n">
        <v>60</v>
      </c>
      <c r="B82" s="44" t="n">
        <v>47818</v>
      </c>
      <c r="C82" s="45">
        <f>F81</f>
        <v/>
      </c>
      <c r="D82" s="45">
        <f>MAX(0,C82*$B$9/12)</f>
        <v/>
      </c>
      <c r="E82" s="45">
        <f>MAX(0,MIN(C82,$B$10-D82))</f>
        <v/>
      </c>
      <c r="F82" s="45">
        <f>MAX(0,C82-E82)</f>
        <v/>
      </c>
    </row>
    <row r="83">
      <c r="A83" s="43" t="n">
        <v>61</v>
      </c>
      <c r="B83" s="44" t="n">
        <v>47849</v>
      </c>
      <c r="C83" s="45">
        <f>F82</f>
        <v/>
      </c>
      <c r="D83" s="45">
        <f>MAX(0,C83*$B$9/12)</f>
        <v/>
      </c>
      <c r="E83" s="45">
        <f>MAX(0,MIN(C83,$B$10-D83))</f>
        <v/>
      </c>
      <c r="F83" s="45">
        <f>MAX(0,C83-E83)</f>
        <v/>
      </c>
    </row>
    <row r="84">
      <c r="A84" s="43" t="n">
        <v>62</v>
      </c>
      <c r="B84" s="44" t="n">
        <v>47880</v>
      </c>
      <c r="C84" s="45">
        <f>F83</f>
        <v/>
      </c>
      <c r="D84" s="45">
        <f>MAX(0,C84*$B$9/12)</f>
        <v/>
      </c>
      <c r="E84" s="45">
        <f>MAX(0,MIN(C84,$B$10-D84))</f>
        <v/>
      </c>
      <c r="F84" s="45">
        <f>MAX(0,C84-E84)</f>
        <v/>
      </c>
    </row>
    <row r="85">
      <c r="A85" s="43" t="n">
        <v>63</v>
      </c>
      <c r="B85" s="44" t="n">
        <v>47908</v>
      </c>
      <c r="C85" s="45">
        <f>F84</f>
        <v/>
      </c>
      <c r="D85" s="45">
        <f>MAX(0,C85*$B$9/12)</f>
        <v/>
      </c>
      <c r="E85" s="45">
        <f>MAX(0,MIN(C85,$B$10-D85))</f>
        <v/>
      </c>
      <c r="F85" s="45">
        <f>MAX(0,C85-E85)</f>
        <v/>
      </c>
    </row>
    <row r="86">
      <c r="A86" s="43" t="n">
        <v>64</v>
      </c>
      <c r="B86" s="44" t="n">
        <v>47939</v>
      </c>
      <c r="C86" s="45">
        <f>F85</f>
        <v/>
      </c>
      <c r="D86" s="45">
        <f>MAX(0,C86*$B$9/12)</f>
        <v/>
      </c>
      <c r="E86" s="45">
        <f>MAX(0,MIN(C86,$B$10-D86))</f>
        <v/>
      </c>
      <c r="F86" s="45">
        <f>MAX(0,C86-E86)</f>
        <v/>
      </c>
    </row>
    <row r="87">
      <c r="A87" s="43" t="n">
        <v>65</v>
      </c>
      <c r="B87" s="44" t="n">
        <v>47969</v>
      </c>
      <c r="C87" s="45">
        <f>F86</f>
        <v/>
      </c>
      <c r="D87" s="45">
        <f>MAX(0,C87*$B$9/12)</f>
        <v/>
      </c>
      <c r="E87" s="45">
        <f>MAX(0,MIN(C87,$B$10-D87))</f>
        <v/>
      </c>
      <c r="F87" s="45">
        <f>MAX(0,C87-E87)</f>
        <v/>
      </c>
    </row>
    <row r="88">
      <c r="A88" s="43" t="n">
        <v>66</v>
      </c>
      <c r="B88" s="44" t="n">
        <v>48000</v>
      </c>
      <c r="C88" s="45">
        <f>F87</f>
        <v/>
      </c>
      <c r="D88" s="45">
        <f>MAX(0,C88*$B$9/12)</f>
        <v/>
      </c>
      <c r="E88" s="45">
        <f>MAX(0,MIN(C88,$B$10-D88))</f>
        <v/>
      </c>
      <c r="F88" s="45">
        <f>MAX(0,C88-E88)</f>
        <v/>
      </c>
    </row>
    <row r="89">
      <c r="A89" s="43" t="n">
        <v>67</v>
      </c>
      <c r="B89" s="44" t="n">
        <v>48030</v>
      </c>
      <c r="C89" s="45">
        <f>F88</f>
        <v/>
      </c>
      <c r="D89" s="45">
        <f>MAX(0,C89*$B$9/12)</f>
        <v/>
      </c>
      <c r="E89" s="45">
        <f>MAX(0,MIN(C89,$B$10-D89))</f>
        <v/>
      </c>
      <c r="F89" s="45">
        <f>MAX(0,C89-E89)</f>
        <v/>
      </c>
    </row>
    <row r="92">
      <c r="A92" s="2" t="inlineStr">
        <is>
          <t>ANNUAL SUMMARY</t>
        </is>
      </c>
    </row>
    <row r="93">
      <c r="A93" s="46" t="inlineStr">
        <is>
          <t>Year</t>
        </is>
      </c>
      <c r="B93" s="46" t="inlineStr"/>
      <c r="C93" s="46" t="inlineStr">
        <is>
          <t>Total Interest</t>
        </is>
      </c>
      <c r="D93" s="46" t="inlineStr">
        <is>
          <t>Total Principal</t>
        </is>
      </c>
      <c r="E93" s="46" t="inlineStr">
        <is>
          <t>Year-End Balance</t>
        </is>
      </c>
    </row>
    <row r="94">
      <c r="A94" s="43" t="n">
        <v>2026</v>
      </c>
      <c r="C94" s="45">
        <f>SUM(D23:D34)</f>
        <v/>
      </c>
      <c r="D94" s="45">
        <f>SUM(E23:E34)</f>
        <v/>
      </c>
      <c r="E94" s="45">
        <f>F34</f>
        <v/>
      </c>
    </row>
    <row r="95">
      <c r="A95" s="43" t="n">
        <v>2027</v>
      </c>
      <c r="C95" s="45">
        <f>SUM(D35:D46)</f>
        <v/>
      </c>
      <c r="D95" s="45">
        <f>SUM(E35:E46)</f>
        <v/>
      </c>
      <c r="E95" s="45">
        <f>F46</f>
        <v/>
      </c>
    </row>
    <row r="96">
      <c r="A96" s="43" t="n">
        <v>2028</v>
      </c>
      <c r="C96" s="45">
        <f>SUM(D47:D58)</f>
        <v/>
      </c>
      <c r="D96" s="45">
        <f>SUM(E47:E58)</f>
        <v/>
      </c>
      <c r="E96" s="45">
        <f>F58</f>
        <v/>
      </c>
    </row>
    <row r="97">
      <c r="A97" s="43" t="n">
        <v>2029</v>
      </c>
      <c r="C97" s="45">
        <f>SUM(D59:D70)</f>
        <v/>
      </c>
      <c r="D97" s="45">
        <f>SUM(E59:E70)</f>
        <v/>
      </c>
      <c r="E97" s="45">
        <f>F70</f>
        <v/>
      </c>
    </row>
    <row r="98">
      <c r="A98" s="43" t="n">
        <v>2030</v>
      </c>
      <c r="C98" s="45">
        <f>SUM(D71:D82)</f>
        <v/>
      </c>
      <c r="D98" s="45">
        <f>SUM(E71:E82)</f>
        <v/>
      </c>
      <c r="E98" s="45">
        <f>F82</f>
        <v/>
      </c>
    </row>
    <row r="99">
      <c r="A99" s="43" t="n">
        <v>2031</v>
      </c>
      <c r="C99" s="45">
        <f>SUM(D83:D89)</f>
        <v/>
      </c>
      <c r="D99" s="45">
        <f>SUM(E83:E89)</f>
        <v/>
      </c>
      <c r="E99" s="45">
        <f>F89</f>
        <v/>
      </c>
    </row>
    <row r="102">
      <c r="A102" s="20" t="inlineStr">
        <is>
          <t>DEBT SCHEDULE REFERENCE</t>
        </is>
      </c>
    </row>
    <row r="103">
      <c r="A103" s="1" t="inlineStr">
        <is>
          <t>Current Balance:</t>
        </is>
      </c>
      <c r="B103" s="26">
        <f>B8</f>
        <v/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5.xml><?xml version="1.0" encoding="utf-8"?>
<worksheet xmlns="http://schemas.openxmlformats.org/spreadsheetml/2006/main">
  <sheetPr>
    <tabColor rgb="00808080"/>
    <outlinePr summaryBelow="1" summaryRight="1"/>
    <pageSetUpPr/>
  </sheetPr>
  <dimension ref="A1:F59"/>
  <sheetViews>
    <sheetView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16" customWidth="1" min="3" max="3"/>
    <col width="14" customWidth="1" min="4" max="4"/>
    <col width="14" customWidth="1" min="5" max="5"/>
    <col width="16" customWidth="1" min="6" max="6"/>
  </cols>
  <sheetData>
    <row r="1">
      <c r="A1" s="1" t="inlineStr">
        <is>
          <t>Lender:</t>
        </is>
      </c>
      <c r="B1" s="4" t="inlineStr">
        <is>
          <t>TriState Capital</t>
        </is>
      </c>
    </row>
    <row r="2">
      <c r="A2" s="1" t="inlineStr">
        <is>
          <t>Loan ID:</t>
        </is>
      </c>
      <c r="B2" s="4" t="inlineStr">
        <is>
          <t>05-2985-000-000-00</t>
        </is>
      </c>
    </row>
    <row r="3">
      <c r="A3" s="1" t="inlineStr">
        <is>
          <t>Description:</t>
        </is>
      </c>
      <c r="B3" s="4" t="inlineStr">
        <is>
          <t>2 T680 Sleepers</t>
        </is>
      </c>
    </row>
    <row r="4">
      <c r="A4" s="1" t="inlineStr">
        <is>
          <t>Collateral:</t>
        </is>
      </c>
      <c r="B4" s="4" t="inlineStr">
        <is>
          <t>Equipment - Semi Trucks</t>
        </is>
      </c>
    </row>
    <row r="5">
      <c r="A5" s="1" t="inlineStr">
        <is>
          <t>Origination Date:</t>
        </is>
      </c>
      <c r="B5" s="4" t="inlineStr">
        <is>
          <t>08/16/2022</t>
        </is>
      </c>
    </row>
    <row r="6">
      <c r="A6" s="1" t="inlineStr">
        <is>
          <t>Maturity Date:</t>
        </is>
      </c>
      <c r="B6" s="4" t="inlineStr">
        <is>
          <t>02/15/2028</t>
        </is>
      </c>
    </row>
    <row r="7">
      <c r="A7" s="1" t="inlineStr">
        <is>
          <t>Original Balance:</t>
        </is>
      </c>
      <c r="B7" s="4" t="n">
        <v>317570</v>
      </c>
    </row>
    <row r="8">
      <c r="A8" s="1" t="inlineStr">
        <is>
          <t>Current Balance (12/31/2025):</t>
        </is>
      </c>
      <c r="B8" s="4" t="n">
        <v>134691</v>
      </c>
    </row>
    <row r="9">
      <c r="A9" s="1" t="inlineStr">
        <is>
          <t>Annual Interest Rate:</t>
        </is>
      </c>
      <c r="B9" s="4" t="n">
        <v>0.0448</v>
      </c>
    </row>
    <row r="10">
      <c r="A10" s="1" t="inlineStr">
        <is>
          <t>Monthly Payment:</t>
        </is>
      </c>
      <c r="B10" s="4" t="n">
        <v>5436</v>
      </c>
    </row>
    <row r="12">
      <c r="A12" s="20" t="inlineStr">
        <is>
          <t>AI ANALYSIS</t>
        </is>
      </c>
    </row>
    <row r="13">
      <c r="A13" s="9" t="inlineStr">
        <is>
          <t>Loan Type: AMORTIZING</t>
        </is>
      </c>
    </row>
    <row r="14">
      <c r="A14" s="9" t="inlineStr">
        <is>
          <t>Amortization: Standard fixed-payment amortization</t>
        </is>
      </c>
    </row>
    <row r="15">
      <c r="A15" s="9" t="inlineStr">
        <is>
          <t>Collateral Type: Equipment - Semi Trucks</t>
        </is>
      </c>
    </row>
    <row r="16">
      <c r="A16" s="9" t="inlineStr">
        <is>
          <t>Remaining term calculated from current balance</t>
        </is>
      </c>
    </row>
    <row r="17">
      <c r="A17" s="9" t="inlineStr">
        <is>
          <t>Interest = MAX(0, Opening * Rate/12)</t>
        </is>
      </c>
    </row>
    <row r="18">
      <c r="A18" s="9" t="inlineStr">
        <is>
          <t>Principal = MAX(0, MIN(Opening, Payment - Interest))</t>
        </is>
      </c>
    </row>
    <row r="19">
      <c r="A19" s="9" t="inlineStr">
        <is>
          <t>Closing = MAX(0, Opening - Principal)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43" t="n">
        <v>1</v>
      </c>
      <c r="B23" s="44" t="n">
        <v>46023</v>
      </c>
      <c r="C23" s="45">
        <f>B8</f>
        <v/>
      </c>
      <c r="D23" s="45">
        <f>MAX(0,C23*$B$9/12)</f>
        <v/>
      </c>
      <c r="E23" s="45">
        <f>MAX(0,MIN(C23,$B$10-D23))</f>
        <v/>
      </c>
      <c r="F23" s="45">
        <f>MAX(0,C23-E23)</f>
        <v/>
      </c>
    </row>
    <row r="24">
      <c r="A24" s="43" t="n">
        <v>2</v>
      </c>
      <c r="B24" s="44" t="n">
        <v>46054</v>
      </c>
      <c r="C24" s="45">
        <f>F23</f>
        <v/>
      </c>
      <c r="D24" s="45">
        <f>MAX(0,C24*$B$9/12)</f>
        <v/>
      </c>
      <c r="E24" s="45">
        <f>MAX(0,MIN(C24,$B$10-D24))</f>
        <v/>
      </c>
      <c r="F24" s="45">
        <f>MAX(0,C24-E24)</f>
        <v/>
      </c>
    </row>
    <row r="25">
      <c r="A25" s="43" t="n">
        <v>3</v>
      </c>
      <c r="B25" s="44" t="n">
        <v>46082</v>
      </c>
      <c r="C25" s="45">
        <f>F24</f>
        <v/>
      </c>
      <c r="D25" s="45">
        <f>MAX(0,C25*$B$9/12)</f>
        <v/>
      </c>
      <c r="E25" s="45">
        <f>MAX(0,MIN(C25,$B$10-D25))</f>
        <v/>
      </c>
      <c r="F25" s="45">
        <f>MAX(0,C25-E25)</f>
        <v/>
      </c>
    </row>
    <row r="26">
      <c r="A26" s="43" t="n">
        <v>4</v>
      </c>
      <c r="B26" s="44" t="n">
        <v>46113</v>
      </c>
      <c r="C26" s="45">
        <f>F25</f>
        <v/>
      </c>
      <c r="D26" s="45">
        <f>MAX(0,C26*$B$9/12)</f>
        <v/>
      </c>
      <c r="E26" s="45">
        <f>MAX(0,MIN(C26,$B$10-D26))</f>
        <v/>
      </c>
      <c r="F26" s="45">
        <f>MAX(0,C26-E26)</f>
        <v/>
      </c>
    </row>
    <row r="27">
      <c r="A27" s="43" t="n">
        <v>5</v>
      </c>
      <c r="B27" s="44" t="n">
        <v>46143</v>
      </c>
      <c r="C27" s="45">
        <f>F26</f>
        <v/>
      </c>
      <c r="D27" s="45">
        <f>MAX(0,C27*$B$9/12)</f>
        <v/>
      </c>
      <c r="E27" s="45">
        <f>MAX(0,MIN(C27,$B$10-D27))</f>
        <v/>
      </c>
      <c r="F27" s="45">
        <f>MAX(0,C27-E27)</f>
        <v/>
      </c>
    </row>
    <row r="28">
      <c r="A28" s="43" t="n">
        <v>6</v>
      </c>
      <c r="B28" s="44" t="n">
        <v>46174</v>
      </c>
      <c r="C28" s="45">
        <f>F27</f>
        <v/>
      </c>
      <c r="D28" s="45">
        <f>MAX(0,C28*$B$9/12)</f>
        <v/>
      </c>
      <c r="E28" s="45">
        <f>MAX(0,MIN(C28,$B$10-D28))</f>
        <v/>
      </c>
      <c r="F28" s="45">
        <f>MAX(0,C28-E28)</f>
        <v/>
      </c>
    </row>
    <row r="29">
      <c r="A29" s="43" t="n">
        <v>7</v>
      </c>
      <c r="B29" s="44" t="n">
        <v>46204</v>
      </c>
      <c r="C29" s="45">
        <f>F28</f>
        <v/>
      </c>
      <c r="D29" s="45">
        <f>MAX(0,C29*$B$9/12)</f>
        <v/>
      </c>
      <c r="E29" s="45">
        <f>MAX(0,MIN(C29,$B$10-D29))</f>
        <v/>
      </c>
      <c r="F29" s="45">
        <f>MAX(0,C29-E29)</f>
        <v/>
      </c>
    </row>
    <row r="30">
      <c r="A30" s="43" t="n">
        <v>8</v>
      </c>
      <c r="B30" s="44" t="n">
        <v>46235</v>
      </c>
      <c r="C30" s="45">
        <f>F29</f>
        <v/>
      </c>
      <c r="D30" s="45">
        <f>MAX(0,C30*$B$9/12)</f>
        <v/>
      </c>
      <c r="E30" s="45">
        <f>MAX(0,MIN(C30,$B$10-D30))</f>
        <v/>
      </c>
      <c r="F30" s="45">
        <f>MAX(0,C30-E30)</f>
        <v/>
      </c>
    </row>
    <row r="31">
      <c r="A31" s="43" t="n">
        <v>9</v>
      </c>
      <c r="B31" s="44" t="n">
        <v>46266</v>
      </c>
      <c r="C31" s="45">
        <f>F30</f>
        <v/>
      </c>
      <c r="D31" s="45">
        <f>MAX(0,C31*$B$9/12)</f>
        <v/>
      </c>
      <c r="E31" s="45">
        <f>MAX(0,MIN(C31,$B$10-D31))</f>
        <v/>
      </c>
      <c r="F31" s="45">
        <f>MAX(0,C31-E31)</f>
        <v/>
      </c>
    </row>
    <row r="32">
      <c r="A32" s="43" t="n">
        <v>10</v>
      </c>
      <c r="B32" s="44" t="n">
        <v>46296</v>
      </c>
      <c r="C32" s="45">
        <f>F31</f>
        <v/>
      </c>
      <c r="D32" s="45">
        <f>MAX(0,C32*$B$9/12)</f>
        <v/>
      </c>
      <c r="E32" s="45">
        <f>MAX(0,MIN(C32,$B$10-D32))</f>
        <v/>
      </c>
      <c r="F32" s="45">
        <f>MAX(0,C32-E32)</f>
        <v/>
      </c>
    </row>
    <row r="33">
      <c r="A33" s="43" t="n">
        <v>11</v>
      </c>
      <c r="B33" s="44" t="n">
        <v>46327</v>
      </c>
      <c r="C33" s="45">
        <f>F32</f>
        <v/>
      </c>
      <c r="D33" s="45">
        <f>MAX(0,C33*$B$9/12)</f>
        <v/>
      </c>
      <c r="E33" s="45">
        <f>MAX(0,MIN(C33,$B$10-D33))</f>
        <v/>
      </c>
      <c r="F33" s="45">
        <f>MAX(0,C33-E33)</f>
        <v/>
      </c>
    </row>
    <row r="34">
      <c r="A34" s="43" t="n">
        <v>12</v>
      </c>
      <c r="B34" s="44" t="n">
        <v>46357</v>
      </c>
      <c r="C34" s="45">
        <f>F33</f>
        <v/>
      </c>
      <c r="D34" s="45">
        <f>MAX(0,C34*$B$9/12)</f>
        <v/>
      </c>
      <c r="E34" s="45">
        <f>MAX(0,MIN(C34,$B$10-D34))</f>
        <v/>
      </c>
      <c r="F34" s="45">
        <f>MAX(0,C34-E34)</f>
        <v/>
      </c>
    </row>
    <row r="35">
      <c r="A35" s="43" t="n">
        <v>13</v>
      </c>
      <c r="B35" s="44" t="n">
        <v>46388</v>
      </c>
      <c r="C35" s="45">
        <f>F34</f>
        <v/>
      </c>
      <c r="D35" s="45">
        <f>MAX(0,C35*$B$9/12)</f>
        <v/>
      </c>
      <c r="E35" s="45">
        <f>MAX(0,MIN(C35,$B$10-D35))</f>
        <v/>
      </c>
      <c r="F35" s="45">
        <f>MAX(0,C35-E35)</f>
        <v/>
      </c>
    </row>
    <row r="36">
      <c r="A36" s="43" t="n">
        <v>14</v>
      </c>
      <c r="B36" s="44" t="n">
        <v>46419</v>
      </c>
      <c r="C36" s="45">
        <f>F35</f>
        <v/>
      </c>
      <c r="D36" s="45">
        <f>MAX(0,C36*$B$9/12)</f>
        <v/>
      </c>
      <c r="E36" s="45">
        <f>MAX(0,MIN(C36,$B$10-D36))</f>
        <v/>
      </c>
      <c r="F36" s="45">
        <f>MAX(0,C36-E36)</f>
        <v/>
      </c>
    </row>
    <row r="37">
      <c r="A37" s="43" t="n">
        <v>15</v>
      </c>
      <c r="B37" s="44" t="n">
        <v>46447</v>
      </c>
      <c r="C37" s="45">
        <f>F36</f>
        <v/>
      </c>
      <c r="D37" s="45">
        <f>MAX(0,C37*$B$9/12)</f>
        <v/>
      </c>
      <c r="E37" s="45">
        <f>MAX(0,MIN(C37,$B$10-D37))</f>
        <v/>
      </c>
      <c r="F37" s="45">
        <f>MAX(0,C37-E37)</f>
        <v/>
      </c>
    </row>
    <row r="38">
      <c r="A38" s="43" t="n">
        <v>16</v>
      </c>
      <c r="B38" s="44" t="n">
        <v>46478</v>
      </c>
      <c r="C38" s="45">
        <f>F37</f>
        <v/>
      </c>
      <c r="D38" s="45">
        <f>MAX(0,C38*$B$9/12)</f>
        <v/>
      </c>
      <c r="E38" s="45">
        <f>MAX(0,MIN(C38,$B$10-D38))</f>
        <v/>
      </c>
      <c r="F38" s="45">
        <f>MAX(0,C38-E38)</f>
        <v/>
      </c>
    </row>
    <row r="39">
      <c r="A39" s="43" t="n">
        <v>17</v>
      </c>
      <c r="B39" s="44" t="n">
        <v>46508</v>
      </c>
      <c r="C39" s="45">
        <f>F38</f>
        <v/>
      </c>
      <c r="D39" s="45">
        <f>MAX(0,C39*$B$9/12)</f>
        <v/>
      </c>
      <c r="E39" s="45">
        <f>MAX(0,MIN(C39,$B$10-D39))</f>
        <v/>
      </c>
      <c r="F39" s="45">
        <f>MAX(0,C39-E39)</f>
        <v/>
      </c>
    </row>
    <row r="40">
      <c r="A40" s="43" t="n">
        <v>18</v>
      </c>
      <c r="B40" s="44" t="n">
        <v>46539</v>
      </c>
      <c r="C40" s="45">
        <f>F39</f>
        <v/>
      </c>
      <c r="D40" s="45">
        <f>MAX(0,C40*$B$9/12)</f>
        <v/>
      </c>
      <c r="E40" s="45">
        <f>MAX(0,MIN(C40,$B$10-D40))</f>
        <v/>
      </c>
      <c r="F40" s="45">
        <f>MAX(0,C40-E40)</f>
        <v/>
      </c>
    </row>
    <row r="41">
      <c r="A41" s="43" t="n">
        <v>19</v>
      </c>
      <c r="B41" s="44" t="n">
        <v>46569</v>
      </c>
      <c r="C41" s="45">
        <f>F40</f>
        <v/>
      </c>
      <c r="D41" s="45">
        <f>MAX(0,C41*$B$9/12)</f>
        <v/>
      </c>
      <c r="E41" s="45">
        <f>MAX(0,MIN(C41,$B$10-D41))</f>
        <v/>
      </c>
      <c r="F41" s="45">
        <f>MAX(0,C41-E41)</f>
        <v/>
      </c>
    </row>
    <row r="42">
      <c r="A42" s="43" t="n">
        <v>20</v>
      </c>
      <c r="B42" s="44" t="n">
        <v>46600</v>
      </c>
      <c r="C42" s="45">
        <f>F41</f>
        <v/>
      </c>
      <c r="D42" s="45">
        <f>MAX(0,C42*$B$9/12)</f>
        <v/>
      </c>
      <c r="E42" s="45">
        <f>MAX(0,MIN(C42,$B$10-D42))</f>
        <v/>
      </c>
      <c r="F42" s="45">
        <f>MAX(0,C42-E42)</f>
        <v/>
      </c>
    </row>
    <row r="43">
      <c r="A43" s="43" t="n">
        <v>21</v>
      </c>
      <c r="B43" s="44" t="n">
        <v>46631</v>
      </c>
      <c r="C43" s="45">
        <f>F42</f>
        <v/>
      </c>
      <c r="D43" s="45">
        <f>MAX(0,C43*$B$9/12)</f>
        <v/>
      </c>
      <c r="E43" s="45">
        <f>MAX(0,MIN(C43,$B$10-D43))</f>
        <v/>
      </c>
      <c r="F43" s="45">
        <f>MAX(0,C43-E43)</f>
        <v/>
      </c>
    </row>
    <row r="44">
      <c r="A44" s="43" t="n">
        <v>22</v>
      </c>
      <c r="B44" s="44" t="n">
        <v>46661</v>
      </c>
      <c r="C44" s="45">
        <f>F43</f>
        <v/>
      </c>
      <c r="D44" s="45">
        <f>MAX(0,C44*$B$9/12)</f>
        <v/>
      </c>
      <c r="E44" s="45">
        <f>MAX(0,MIN(C44,$B$10-D44))</f>
        <v/>
      </c>
      <c r="F44" s="45">
        <f>MAX(0,C44-E44)</f>
        <v/>
      </c>
    </row>
    <row r="45">
      <c r="A45" s="43" t="n">
        <v>23</v>
      </c>
      <c r="B45" s="44" t="n">
        <v>46692</v>
      </c>
      <c r="C45" s="45">
        <f>F44</f>
        <v/>
      </c>
      <c r="D45" s="45">
        <f>MAX(0,C45*$B$9/12)</f>
        <v/>
      </c>
      <c r="E45" s="45">
        <f>MAX(0,MIN(C45,$B$10-D45))</f>
        <v/>
      </c>
      <c r="F45" s="45">
        <f>MAX(0,C45-E45)</f>
        <v/>
      </c>
    </row>
    <row r="46">
      <c r="A46" s="43" t="n">
        <v>24</v>
      </c>
      <c r="B46" s="44" t="n">
        <v>46722</v>
      </c>
      <c r="C46" s="45">
        <f>F45</f>
        <v/>
      </c>
      <c r="D46" s="45">
        <f>MAX(0,C46*$B$9/12)</f>
        <v/>
      </c>
      <c r="E46" s="45">
        <f>MAX(0,MIN(C46,$B$10-D46))</f>
        <v/>
      </c>
      <c r="F46" s="45">
        <f>MAX(0,C46-E46)</f>
        <v/>
      </c>
    </row>
    <row r="47">
      <c r="A47" s="43" t="n">
        <v>25</v>
      </c>
      <c r="B47" s="44" t="n">
        <v>46753</v>
      </c>
      <c r="C47" s="45">
        <f>F46</f>
        <v/>
      </c>
      <c r="D47" s="45">
        <f>MAX(0,C47*$B$9/12)</f>
        <v/>
      </c>
      <c r="E47" s="45">
        <f>MAX(0,MIN(C47,$B$10-D47))</f>
        <v/>
      </c>
      <c r="F47" s="45">
        <f>MAX(0,C47-E47)</f>
        <v/>
      </c>
    </row>
    <row r="48">
      <c r="A48" s="43" t="n">
        <v>26</v>
      </c>
      <c r="B48" s="44" t="n">
        <v>46784</v>
      </c>
      <c r="C48" s="45">
        <f>F47</f>
        <v/>
      </c>
      <c r="D48" s="45">
        <f>MAX(0,C48*$B$9/12)</f>
        <v/>
      </c>
      <c r="E48" s="45">
        <f>MAX(0,MIN(C48,$B$10-D48))</f>
        <v/>
      </c>
      <c r="F48" s="45">
        <f>MAX(0,C48-E48)</f>
        <v/>
      </c>
    </row>
    <row r="51">
      <c r="A51" s="2" t="inlineStr">
        <is>
          <t>ANNUAL SUMMARY</t>
        </is>
      </c>
    </row>
    <row r="52">
      <c r="A52" s="46" t="inlineStr">
        <is>
          <t>Year</t>
        </is>
      </c>
      <c r="B52" s="46" t="inlineStr"/>
      <c r="C52" s="46" t="inlineStr">
        <is>
          <t>Total Interest</t>
        </is>
      </c>
      <c r="D52" s="46" t="inlineStr">
        <is>
          <t>Total Principal</t>
        </is>
      </c>
      <c r="E52" s="46" t="inlineStr">
        <is>
          <t>Year-End Balance</t>
        </is>
      </c>
    </row>
    <row r="53">
      <c r="A53" s="43" t="n">
        <v>2026</v>
      </c>
      <c r="C53" s="45">
        <f>SUM(D23:D34)</f>
        <v/>
      </c>
      <c r="D53" s="45">
        <f>SUM(E23:E34)</f>
        <v/>
      </c>
      <c r="E53" s="45">
        <f>F34</f>
        <v/>
      </c>
    </row>
    <row r="54">
      <c r="A54" s="43" t="n">
        <v>2027</v>
      </c>
      <c r="C54" s="45">
        <f>SUM(D35:D46)</f>
        <v/>
      </c>
      <c r="D54" s="45">
        <f>SUM(E35:E46)</f>
        <v/>
      </c>
      <c r="E54" s="45">
        <f>F46</f>
        <v/>
      </c>
    </row>
    <row r="55">
      <c r="A55" s="43" t="n">
        <v>2028</v>
      </c>
      <c r="C55" s="45">
        <f>SUM(D47:D48)</f>
        <v/>
      </c>
      <c r="D55" s="45">
        <f>SUM(E47:E48)</f>
        <v/>
      </c>
      <c r="E55" s="45">
        <f>F48</f>
        <v/>
      </c>
    </row>
    <row r="58">
      <c r="A58" s="20" t="inlineStr">
        <is>
          <t>DEBT SCHEDULE REFERENCE</t>
        </is>
      </c>
    </row>
    <row r="59">
      <c r="A59" s="1" t="inlineStr">
        <is>
          <t>Current Balance:</t>
        </is>
      </c>
      <c r="B59" s="26">
        <f>B8</f>
        <v/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6.xml><?xml version="1.0" encoding="utf-8"?>
<worksheet xmlns="http://schemas.openxmlformats.org/spreadsheetml/2006/main">
  <sheetPr>
    <tabColor rgb="00808080"/>
    <outlinePr summaryBelow="1" summaryRight="1"/>
    <pageSetUpPr/>
  </sheetPr>
  <dimension ref="A1:F81"/>
  <sheetViews>
    <sheetView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16" customWidth="1" min="3" max="3"/>
    <col width="14" customWidth="1" min="4" max="4"/>
    <col width="14" customWidth="1" min="5" max="5"/>
    <col width="16" customWidth="1" min="6" max="6"/>
  </cols>
  <sheetData>
    <row r="1">
      <c r="A1" s="1" t="inlineStr">
        <is>
          <t>Lender:</t>
        </is>
      </c>
      <c r="B1" s="4" t="inlineStr">
        <is>
          <t>TriState Capital</t>
        </is>
      </c>
    </row>
    <row r="2">
      <c r="A2" s="1" t="inlineStr">
        <is>
          <t>Loan ID:</t>
        </is>
      </c>
      <c r="B2" s="4" t="inlineStr">
        <is>
          <t>05-2985-001-000-00</t>
        </is>
      </c>
    </row>
    <row r="3">
      <c r="A3" s="1" t="inlineStr">
        <is>
          <t>Description:</t>
        </is>
      </c>
      <c r="B3" s="4" t="inlineStr">
        <is>
          <t>25 Trailers</t>
        </is>
      </c>
    </row>
    <row r="4">
      <c r="A4" s="1" t="inlineStr">
        <is>
          <t>Collateral:</t>
        </is>
      </c>
      <c r="B4" s="4" t="inlineStr">
        <is>
          <t>Equipment - Trailers</t>
        </is>
      </c>
    </row>
    <row r="5">
      <c r="A5" s="1" t="inlineStr">
        <is>
          <t>Origination Date:</t>
        </is>
      </c>
      <c r="B5" s="4" t="inlineStr">
        <is>
          <t>10/13/2022</t>
        </is>
      </c>
    </row>
    <row r="6">
      <c r="A6" s="1" t="inlineStr">
        <is>
          <t>Maturity Date:</t>
        </is>
      </c>
      <c r="B6" s="4" t="inlineStr">
        <is>
          <t>11/15/2029</t>
        </is>
      </c>
    </row>
    <row r="7">
      <c r="A7" s="1" t="inlineStr">
        <is>
          <t>Original Balance:</t>
        </is>
      </c>
      <c r="B7" s="4" t="n">
        <v>1716800</v>
      </c>
    </row>
    <row r="8">
      <c r="A8" s="1" t="inlineStr">
        <is>
          <t>Current Balance (12/31/2025):</t>
        </is>
      </c>
      <c r="B8" s="4" t="n">
        <v>1014643</v>
      </c>
    </row>
    <row r="9">
      <c r="A9" s="1" t="inlineStr">
        <is>
          <t>Annual Interest Rate:</t>
        </is>
      </c>
      <c r="B9" s="4" t="n">
        <v>0.0495</v>
      </c>
    </row>
    <row r="10">
      <c r="A10" s="1" t="inlineStr">
        <is>
          <t>Monthly Payment:</t>
        </is>
      </c>
      <c r="B10" s="4" t="n">
        <v>24218</v>
      </c>
    </row>
    <row r="12">
      <c r="A12" s="20" t="inlineStr">
        <is>
          <t>AI ANALYSIS</t>
        </is>
      </c>
    </row>
    <row r="13">
      <c r="A13" s="9" t="inlineStr">
        <is>
          <t>Loan Type: AMORTIZING</t>
        </is>
      </c>
    </row>
    <row r="14">
      <c r="A14" s="9" t="inlineStr">
        <is>
          <t>Amortization: Standard fixed-payment amortization</t>
        </is>
      </c>
    </row>
    <row r="15">
      <c r="A15" s="9" t="inlineStr">
        <is>
          <t>Collateral Type: Equipment - Trailers</t>
        </is>
      </c>
    </row>
    <row r="16">
      <c r="A16" s="9" t="inlineStr">
        <is>
          <t>Remaining term calculated from current balance</t>
        </is>
      </c>
    </row>
    <row r="17">
      <c r="A17" s="9" t="inlineStr">
        <is>
          <t>Interest = MAX(0, Opening * Rate/12)</t>
        </is>
      </c>
    </row>
    <row r="18">
      <c r="A18" s="9" t="inlineStr">
        <is>
          <t>Principal = MAX(0, MIN(Opening, Payment - Interest))</t>
        </is>
      </c>
    </row>
    <row r="19">
      <c r="A19" s="9" t="inlineStr">
        <is>
          <t>Closing = MAX(0, Opening - Principal)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43" t="n">
        <v>1</v>
      </c>
      <c r="B23" s="44" t="n">
        <v>46023</v>
      </c>
      <c r="C23" s="45">
        <f>B8</f>
        <v/>
      </c>
      <c r="D23" s="45">
        <f>MAX(0,C23*$B$9/12)</f>
        <v/>
      </c>
      <c r="E23" s="45">
        <f>MAX(0,MIN(C23,$B$10-D23))</f>
        <v/>
      </c>
      <c r="F23" s="45">
        <f>MAX(0,C23-E23)</f>
        <v/>
      </c>
    </row>
    <row r="24">
      <c r="A24" s="43" t="n">
        <v>2</v>
      </c>
      <c r="B24" s="44" t="n">
        <v>46054</v>
      </c>
      <c r="C24" s="45">
        <f>F23</f>
        <v/>
      </c>
      <c r="D24" s="45">
        <f>MAX(0,C24*$B$9/12)</f>
        <v/>
      </c>
      <c r="E24" s="45">
        <f>MAX(0,MIN(C24,$B$10-D24))</f>
        <v/>
      </c>
      <c r="F24" s="45">
        <f>MAX(0,C24-E24)</f>
        <v/>
      </c>
    </row>
    <row r="25">
      <c r="A25" s="43" t="n">
        <v>3</v>
      </c>
      <c r="B25" s="44" t="n">
        <v>46082</v>
      </c>
      <c r="C25" s="45">
        <f>F24</f>
        <v/>
      </c>
      <c r="D25" s="45">
        <f>MAX(0,C25*$B$9/12)</f>
        <v/>
      </c>
      <c r="E25" s="45">
        <f>MAX(0,MIN(C25,$B$10-D25))</f>
        <v/>
      </c>
      <c r="F25" s="45">
        <f>MAX(0,C25-E25)</f>
        <v/>
      </c>
    </row>
    <row r="26">
      <c r="A26" s="43" t="n">
        <v>4</v>
      </c>
      <c r="B26" s="44" t="n">
        <v>46113</v>
      </c>
      <c r="C26" s="45">
        <f>F25</f>
        <v/>
      </c>
      <c r="D26" s="45">
        <f>MAX(0,C26*$B$9/12)</f>
        <v/>
      </c>
      <c r="E26" s="45">
        <f>MAX(0,MIN(C26,$B$10-D26))</f>
        <v/>
      </c>
      <c r="F26" s="45">
        <f>MAX(0,C26-E26)</f>
        <v/>
      </c>
    </row>
    <row r="27">
      <c r="A27" s="43" t="n">
        <v>5</v>
      </c>
      <c r="B27" s="44" t="n">
        <v>46143</v>
      </c>
      <c r="C27" s="45">
        <f>F26</f>
        <v/>
      </c>
      <c r="D27" s="45">
        <f>MAX(0,C27*$B$9/12)</f>
        <v/>
      </c>
      <c r="E27" s="45">
        <f>MAX(0,MIN(C27,$B$10-D27))</f>
        <v/>
      </c>
      <c r="F27" s="45">
        <f>MAX(0,C27-E27)</f>
        <v/>
      </c>
    </row>
    <row r="28">
      <c r="A28" s="43" t="n">
        <v>6</v>
      </c>
      <c r="B28" s="44" t="n">
        <v>46174</v>
      </c>
      <c r="C28" s="45">
        <f>F27</f>
        <v/>
      </c>
      <c r="D28" s="45">
        <f>MAX(0,C28*$B$9/12)</f>
        <v/>
      </c>
      <c r="E28" s="45">
        <f>MAX(0,MIN(C28,$B$10-D28))</f>
        <v/>
      </c>
      <c r="F28" s="45">
        <f>MAX(0,C28-E28)</f>
        <v/>
      </c>
    </row>
    <row r="29">
      <c r="A29" s="43" t="n">
        <v>7</v>
      </c>
      <c r="B29" s="44" t="n">
        <v>46204</v>
      </c>
      <c r="C29" s="45">
        <f>F28</f>
        <v/>
      </c>
      <c r="D29" s="45">
        <f>MAX(0,C29*$B$9/12)</f>
        <v/>
      </c>
      <c r="E29" s="45">
        <f>MAX(0,MIN(C29,$B$10-D29))</f>
        <v/>
      </c>
      <c r="F29" s="45">
        <f>MAX(0,C29-E29)</f>
        <v/>
      </c>
    </row>
    <row r="30">
      <c r="A30" s="43" t="n">
        <v>8</v>
      </c>
      <c r="B30" s="44" t="n">
        <v>46235</v>
      </c>
      <c r="C30" s="45">
        <f>F29</f>
        <v/>
      </c>
      <c r="D30" s="45">
        <f>MAX(0,C30*$B$9/12)</f>
        <v/>
      </c>
      <c r="E30" s="45">
        <f>MAX(0,MIN(C30,$B$10-D30))</f>
        <v/>
      </c>
      <c r="F30" s="45">
        <f>MAX(0,C30-E30)</f>
        <v/>
      </c>
    </row>
    <row r="31">
      <c r="A31" s="43" t="n">
        <v>9</v>
      </c>
      <c r="B31" s="44" t="n">
        <v>46266</v>
      </c>
      <c r="C31" s="45">
        <f>F30</f>
        <v/>
      </c>
      <c r="D31" s="45">
        <f>MAX(0,C31*$B$9/12)</f>
        <v/>
      </c>
      <c r="E31" s="45">
        <f>MAX(0,MIN(C31,$B$10-D31))</f>
        <v/>
      </c>
      <c r="F31" s="45">
        <f>MAX(0,C31-E31)</f>
        <v/>
      </c>
    </row>
    <row r="32">
      <c r="A32" s="43" t="n">
        <v>10</v>
      </c>
      <c r="B32" s="44" t="n">
        <v>46296</v>
      </c>
      <c r="C32" s="45">
        <f>F31</f>
        <v/>
      </c>
      <c r="D32" s="45">
        <f>MAX(0,C32*$B$9/12)</f>
        <v/>
      </c>
      <c r="E32" s="45">
        <f>MAX(0,MIN(C32,$B$10-D32))</f>
        <v/>
      </c>
      <c r="F32" s="45">
        <f>MAX(0,C32-E32)</f>
        <v/>
      </c>
    </row>
    <row r="33">
      <c r="A33" s="43" t="n">
        <v>11</v>
      </c>
      <c r="B33" s="44" t="n">
        <v>46327</v>
      </c>
      <c r="C33" s="45">
        <f>F32</f>
        <v/>
      </c>
      <c r="D33" s="45">
        <f>MAX(0,C33*$B$9/12)</f>
        <v/>
      </c>
      <c r="E33" s="45">
        <f>MAX(0,MIN(C33,$B$10-D33))</f>
        <v/>
      </c>
      <c r="F33" s="45">
        <f>MAX(0,C33-E33)</f>
        <v/>
      </c>
    </row>
    <row r="34">
      <c r="A34" s="43" t="n">
        <v>12</v>
      </c>
      <c r="B34" s="44" t="n">
        <v>46357</v>
      </c>
      <c r="C34" s="45">
        <f>F33</f>
        <v/>
      </c>
      <c r="D34" s="45">
        <f>MAX(0,C34*$B$9/12)</f>
        <v/>
      </c>
      <c r="E34" s="45">
        <f>MAX(0,MIN(C34,$B$10-D34))</f>
        <v/>
      </c>
      <c r="F34" s="45">
        <f>MAX(0,C34-E34)</f>
        <v/>
      </c>
    </row>
    <row r="35">
      <c r="A35" s="43" t="n">
        <v>13</v>
      </c>
      <c r="B35" s="44" t="n">
        <v>46388</v>
      </c>
      <c r="C35" s="45">
        <f>F34</f>
        <v/>
      </c>
      <c r="D35" s="45">
        <f>MAX(0,C35*$B$9/12)</f>
        <v/>
      </c>
      <c r="E35" s="45">
        <f>MAX(0,MIN(C35,$B$10-D35))</f>
        <v/>
      </c>
      <c r="F35" s="45">
        <f>MAX(0,C35-E35)</f>
        <v/>
      </c>
    </row>
    <row r="36">
      <c r="A36" s="43" t="n">
        <v>14</v>
      </c>
      <c r="B36" s="44" t="n">
        <v>46419</v>
      </c>
      <c r="C36" s="45">
        <f>F35</f>
        <v/>
      </c>
      <c r="D36" s="45">
        <f>MAX(0,C36*$B$9/12)</f>
        <v/>
      </c>
      <c r="E36" s="45">
        <f>MAX(0,MIN(C36,$B$10-D36))</f>
        <v/>
      </c>
      <c r="F36" s="45">
        <f>MAX(0,C36-E36)</f>
        <v/>
      </c>
    </row>
    <row r="37">
      <c r="A37" s="43" t="n">
        <v>15</v>
      </c>
      <c r="B37" s="44" t="n">
        <v>46447</v>
      </c>
      <c r="C37" s="45">
        <f>F36</f>
        <v/>
      </c>
      <c r="D37" s="45">
        <f>MAX(0,C37*$B$9/12)</f>
        <v/>
      </c>
      <c r="E37" s="45">
        <f>MAX(0,MIN(C37,$B$10-D37))</f>
        <v/>
      </c>
      <c r="F37" s="45">
        <f>MAX(0,C37-E37)</f>
        <v/>
      </c>
    </row>
    <row r="38">
      <c r="A38" s="43" t="n">
        <v>16</v>
      </c>
      <c r="B38" s="44" t="n">
        <v>46478</v>
      </c>
      <c r="C38" s="45">
        <f>F37</f>
        <v/>
      </c>
      <c r="D38" s="45">
        <f>MAX(0,C38*$B$9/12)</f>
        <v/>
      </c>
      <c r="E38" s="45">
        <f>MAX(0,MIN(C38,$B$10-D38))</f>
        <v/>
      </c>
      <c r="F38" s="45">
        <f>MAX(0,C38-E38)</f>
        <v/>
      </c>
    </row>
    <row r="39">
      <c r="A39" s="43" t="n">
        <v>17</v>
      </c>
      <c r="B39" s="44" t="n">
        <v>46508</v>
      </c>
      <c r="C39" s="45">
        <f>F38</f>
        <v/>
      </c>
      <c r="D39" s="45">
        <f>MAX(0,C39*$B$9/12)</f>
        <v/>
      </c>
      <c r="E39" s="45">
        <f>MAX(0,MIN(C39,$B$10-D39))</f>
        <v/>
      </c>
      <c r="F39" s="45">
        <f>MAX(0,C39-E39)</f>
        <v/>
      </c>
    </row>
    <row r="40">
      <c r="A40" s="43" t="n">
        <v>18</v>
      </c>
      <c r="B40" s="44" t="n">
        <v>46539</v>
      </c>
      <c r="C40" s="45">
        <f>F39</f>
        <v/>
      </c>
      <c r="D40" s="45">
        <f>MAX(0,C40*$B$9/12)</f>
        <v/>
      </c>
      <c r="E40" s="45">
        <f>MAX(0,MIN(C40,$B$10-D40))</f>
        <v/>
      </c>
      <c r="F40" s="45">
        <f>MAX(0,C40-E40)</f>
        <v/>
      </c>
    </row>
    <row r="41">
      <c r="A41" s="43" t="n">
        <v>19</v>
      </c>
      <c r="B41" s="44" t="n">
        <v>46569</v>
      </c>
      <c r="C41" s="45">
        <f>F40</f>
        <v/>
      </c>
      <c r="D41" s="45">
        <f>MAX(0,C41*$B$9/12)</f>
        <v/>
      </c>
      <c r="E41" s="45">
        <f>MAX(0,MIN(C41,$B$10-D41))</f>
        <v/>
      </c>
      <c r="F41" s="45">
        <f>MAX(0,C41-E41)</f>
        <v/>
      </c>
    </row>
    <row r="42">
      <c r="A42" s="43" t="n">
        <v>20</v>
      </c>
      <c r="B42" s="44" t="n">
        <v>46600</v>
      </c>
      <c r="C42" s="45">
        <f>F41</f>
        <v/>
      </c>
      <c r="D42" s="45">
        <f>MAX(0,C42*$B$9/12)</f>
        <v/>
      </c>
      <c r="E42" s="45">
        <f>MAX(0,MIN(C42,$B$10-D42))</f>
        <v/>
      </c>
      <c r="F42" s="45">
        <f>MAX(0,C42-E42)</f>
        <v/>
      </c>
    </row>
    <row r="43">
      <c r="A43" s="43" t="n">
        <v>21</v>
      </c>
      <c r="B43" s="44" t="n">
        <v>46631</v>
      </c>
      <c r="C43" s="45">
        <f>F42</f>
        <v/>
      </c>
      <c r="D43" s="45">
        <f>MAX(0,C43*$B$9/12)</f>
        <v/>
      </c>
      <c r="E43" s="45">
        <f>MAX(0,MIN(C43,$B$10-D43))</f>
        <v/>
      </c>
      <c r="F43" s="45">
        <f>MAX(0,C43-E43)</f>
        <v/>
      </c>
    </row>
    <row r="44">
      <c r="A44" s="43" t="n">
        <v>22</v>
      </c>
      <c r="B44" s="44" t="n">
        <v>46661</v>
      </c>
      <c r="C44" s="45">
        <f>F43</f>
        <v/>
      </c>
      <c r="D44" s="45">
        <f>MAX(0,C44*$B$9/12)</f>
        <v/>
      </c>
      <c r="E44" s="45">
        <f>MAX(0,MIN(C44,$B$10-D44))</f>
        <v/>
      </c>
      <c r="F44" s="45">
        <f>MAX(0,C44-E44)</f>
        <v/>
      </c>
    </row>
    <row r="45">
      <c r="A45" s="43" t="n">
        <v>23</v>
      </c>
      <c r="B45" s="44" t="n">
        <v>46692</v>
      </c>
      <c r="C45" s="45">
        <f>F44</f>
        <v/>
      </c>
      <c r="D45" s="45">
        <f>MAX(0,C45*$B$9/12)</f>
        <v/>
      </c>
      <c r="E45" s="45">
        <f>MAX(0,MIN(C45,$B$10-D45))</f>
        <v/>
      </c>
      <c r="F45" s="45">
        <f>MAX(0,C45-E45)</f>
        <v/>
      </c>
    </row>
    <row r="46">
      <c r="A46" s="43" t="n">
        <v>24</v>
      </c>
      <c r="B46" s="44" t="n">
        <v>46722</v>
      </c>
      <c r="C46" s="45">
        <f>F45</f>
        <v/>
      </c>
      <c r="D46" s="45">
        <f>MAX(0,C46*$B$9/12)</f>
        <v/>
      </c>
      <c r="E46" s="45">
        <f>MAX(0,MIN(C46,$B$10-D46))</f>
        <v/>
      </c>
      <c r="F46" s="45">
        <f>MAX(0,C46-E46)</f>
        <v/>
      </c>
    </row>
    <row r="47">
      <c r="A47" s="43" t="n">
        <v>25</v>
      </c>
      <c r="B47" s="44" t="n">
        <v>46753</v>
      </c>
      <c r="C47" s="45">
        <f>F46</f>
        <v/>
      </c>
      <c r="D47" s="45">
        <f>MAX(0,C47*$B$9/12)</f>
        <v/>
      </c>
      <c r="E47" s="45">
        <f>MAX(0,MIN(C47,$B$10-D47))</f>
        <v/>
      </c>
      <c r="F47" s="45">
        <f>MAX(0,C47-E47)</f>
        <v/>
      </c>
    </row>
    <row r="48">
      <c r="A48" s="43" t="n">
        <v>26</v>
      </c>
      <c r="B48" s="44" t="n">
        <v>46784</v>
      </c>
      <c r="C48" s="45">
        <f>F47</f>
        <v/>
      </c>
      <c r="D48" s="45">
        <f>MAX(0,C48*$B$9/12)</f>
        <v/>
      </c>
      <c r="E48" s="45">
        <f>MAX(0,MIN(C48,$B$10-D48))</f>
        <v/>
      </c>
      <c r="F48" s="45">
        <f>MAX(0,C48-E48)</f>
        <v/>
      </c>
    </row>
    <row r="49">
      <c r="A49" s="43" t="n">
        <v>27</v>
      </c>
      <c r="B49" s="44" t="n">
        <v>46813</v>
      </c>
      <c r="C49" s="45">
        <f>F48</f>
        <v/>
      </c>
      <c r="D49" s="45">
        <f>MAX(0,C49*$B$9/12)</f>
        <v/>
      </c>
      <c r="E49" s="45">
        <f>MAX(0,MIN(C49,$B$10-D49))</f>
        <v/>
      </c>
      <c r="F49" s="45">
        <f>MAX(0,C49-E49)</f>
        <v/>
      </c>
    </row>
    <row r="50">
      <c r="A50" s="43" t="n">
        <v>28</v>
      </c>
      <c r="B50" s="44" t="n">
        <v>46844</v>
      </c>
      <c r="C50" s="45">
        <f>F49</f>
        <v/>
      </c>
      <c r="D50" s="45">
        <f>MAX(0,C50*$B$9/12)</f>
        <v/>
      </c>
      <c r="E50" s="45">
        <f>MAX(0,MIN(C50,$B$10-D50))</f>
        <v/>
      </c>
      <c r="F50" s="45">
        <f>MAX(0,C50-E50)</f>
        <v/>
      </c>
    </row>
    <row r="51">
      <c r="A51" s="43" t="n">
        <v>29</v>
      </c>
      <c r="B51" s="44" t="n">
        <v>46874</v>
      </c>
      <c r="C51" s="45">
        <f>F50</f>
        <v/>
      </c>
      <c r="D51" s="45">
        <f>MAX(0,C51*$B$9/12)</f>
        <v/>
      </c>
      <c r="E51" s="45">
        <f>MAX(0,MIN(C51,$B$10-D51))</f>
        <v/>
      </c>
      <c r="F51" s="45">
        <f>MAX(0,C51-E51)</f>
        <v/>
      </c>
    </row>
    <row r="52">
      <c r="A52" s="43" t="n">
        <v>30</v>
      </c>
      <c r="B52" s="44" t="n">
        <v>46905</v>
      </c>
      <c r="C52" s="45">
        <f>F51</f>
        <v/>
      </c>
      <c r="D52" s="45">
        <f>MAX(0,C52*$B$9/12)</f>
        <v/>
      </c>
      <c r="E52" s="45">
        <f>MAX(0,MIN(C52,$B$10-D52))</f>
        <v/>
      </c>
      <c r="F52" s="45">
        <f>MAX(0,C52-E52)</f>
        <v/>
      </c>
    </row>
    <row r="53">
      <c r="A53" s="43" t="n">
        <v>31</v>
      </c>
      <c r="B53" s="44" t="n">
        <v>46935</v>
      </c>
      <c r="C53" s="45">
        <f>F52</f>
        <v/>
      </c>
      <c r="D53" s="45">
        <f>MAX(0,C53*$B$9/12)</f>
        <v/>
      </c>
      <c r="E53" s="45">
        <f>MAX(0,MIN(C53,$B$10-D53))</f>
        <v/>
      </c>
      <c r="F53" s="45">
        <f>MAX(0,C53-E53)</f>
        <v/>
      </c>
    </row>
    <row r="54">
      <c r="A54" s="43" t="n">
        <v>32</v>
      </c>
      <c r="B54" s="44" t="n">
        <v>46966</v>
      </c>
      <c r="C54" s="45">
        <f>F53</f>
        <v/>
      </c>
      <c r="D54" s="45">
        <f>MAX(0,C54*$B$9/12)</f>
        <v/>
      </c>
      <c r="E54" s="45">
        <f>MAX(0,MIN(C54,$B$10-D54))</f>
        <v/>
      </c>
      <c r="F54" s="45">
        <f>MAX(0,C54-E54)</f>
        <v/>
      </c>
    </row>
    <row r="55">
      <c r="A55" s="43" t="n">
        <v>33</v>
      </c>
      <c r="B55" s="44" t="n">
        <v>46997</v>
      </c>
      <c r="C55" s="45">
        <f>F54</f>
        <v/>
      </c>
      <c r="D55" s="45">
        <f>MAX(0,C55*$B$9/12)</f>
        <v/>
      </c>
      <c r="E55" s="45">
        <f>MAX(0,MIN(C55,$B$10-D55))</f>
        <v/>
      </c>
      <c r="F55" s="45">
        <f>MAX(0,C55-E55)</f>
        <v/>
      </c>
    </row>
    <row r="56">
      <c r="A56" s="43" t="n">
        <v>34</v>
      </c>
      <c r="B56" s="44" t="n">
        <v>47027</v>
      </c>
      <c r="C56" s="45">
        <f>F55</f>
        <v/>
      </c>
      <c r="D56" s="45">
        <f>MAX(0,C56*$B$9/12)</f>
        <v/>
      </c>
      <c r="E56" s="45">
        <f>MAX(0,MIN(C56,$B$10-D56))</f>
        <v/>
      </c>
      <c r="F56" s="45">
        <f>MAX(0,C56-E56)</f>
        <v/>
      </c>
    </row>
    <row r="57">
      <c r="A57" s="43" t="n">
        <v>35</v>
      </c>
      <c r="B57" s="44" t="n">
        <v>47058</v>
      </c>
      <c r="C57" s="45">
        <f>F56</f>
        <v/>
      </c>
      <c r="D57" s="45">
        <f>MAX(0,C57*$B$9/12)</f>
        <v/>
      </c>
      <c r="E57" s="45">
        <f>MAX(0,MIN(C57,$B$10-D57))</f>
        <v/>
      </c>
      <c r="F57" s="45">
        <f>MAX(0,C57-E57)</f>
        <v/>
      </c>
    </row>
    <row r="58">
      <c r="A58" s="43" t="n">
        <v>36</v>
      </c>
      <c r="B58" s="44" t="n">
        <v>47088</v>
      </c>
      <c r="C58" s="45">
        <f>F57</f>
        <v/>
      </c>
      <c r="D58" s="45">
        <f>MAX(0,C58*$B$9/12)</f>
        <v/>
      </c>
      <c r="E58" s="45">
        <f>MAX(0,MIN(C58,$B$10-D58))</f>
        <v/>
      </c>
      <c r="F58" s="45">
        <f>MAX(0,C58-E58)</f>
        <v/>
      </c>
    </row>
    <row r="59">
      <c r="A59" s="43" t="n">
        <v>37</v>
      </c>
      <c r="B59" s="44" t="n">
        <v>47119</v>
      </c>
      <c r="C59" s="45">
        <f>F58</f>
        <v/>
      </c>
      <c r="D59" s="45">
        <f>MAX(0,C59*$B$9/12)</f>
        <v/>
      </c>
      <c r="E59" s="45">
        <f>MAX(0,MIN(C59,$B$10-D59))</f>
        <v/>
      </c>
      <c r="F59" s="45">
        <f>MAX(0,C59-E59)</f>
        <v/>
      </c>
    </row>
    <row r="60">
      <c r="A60" s="43" t="n">
        <v>38</v>
      </c>
      <c r="B60" s="44" t="n">
        <v>47150</v>
      </c>
      <c r="C60" s="45">
        <f>F59</f>
        <v/>
      </c>
      <c r="D60" s="45">
        <f>MAX(0,C60*$B$9/12)</f>
        <v/>
      </c>
      <c r="E60" s="45">
        <f>MAX(0,MIN(C60,$B$10-D60))</f>
        <v/>
      </c>
      <c r="F60" s="45">
        <f>MAX(0,C60-E60)</f>
        <v/>
      </c>
    </row>
    <row r="61">
      <c r="A61" s="43" t="n">
        <v>39</v>
      </c>
      <c r="B61" s="44" t="n">
        <v>47178</v>
      </c>
      <c r="C61" s="45">
        <f>F60</f>
        <v/>
      </c>
      <c r="D61" s="45">
        <f>MAX(0,C61*$B$9/12)</f>
        <v/>
      </c>
      <c r="E61" s="45">
        <f>MAX(0,MIN(C61,$B$10-D61))</f>
        <v/>
      </c>
      <c r="F61" s="45">
        <f>MAX(0,C61-E61)</f>
        <v/>
      </c>
    </row>
    <row r="62">
      <c r="A62" s="43" t="n">
        <v>40</v>
      </c>
      <c r="B62" s="44" t="n">
        <v>47209</v>
      </c>
      <c r="C62" s="45">
        <f>F61</f>
        <v/>
      </c>
      <c r="D62" s="45">
        <f>MAX(0,C62*$B$9/12)</f>
        <v/>
      </c>
      <c r="E62" s="45">
        <f>MAX(0,MIN(C62,$B$10-D62))</f>
        <v/>
      </c>
      <c r="F62" s="45">
        <f>MAX(0,C62-E62)</f>
        <v/>
      </c>
    </row>
    <row r="63">
      <c r="A63" s="43" t="n">
        <v>41</v>
      </c>
      <c r="B63" s="44" t="n">
        <v>47239</v>
      </c>
      <c r="C63" s="45">
        <f>F62</f>
        <v/>
      </c>
      <c r="D63" s="45">
        <f>MAX(0,C63*$B$9/12)</f>
        <v/>
      </c>
      <c r="E63" s="45">
        <f>MAX(0,MIN(C63,$B$10-D63))</f>
        <v/>
      </c>
      <c r="F63" s="45">
        <f>MAX(0,C63-E63)</f>
        <v/>
      </c>
    </row>
    <row r="64">
      <c r="A64" s="43" t="n">
        <v>42</v>
      </c>
      <c r="B64" s="44" t="n">
        <v>47270</v>
      </c>
      <c r="C64" s="45">
        <f>F63</f>
        <v/>
      </c>
      <c r="D64" s="45">
        <f>MAX(0,C64*$B$9/12)</f>
        <v/>
      </c>
      <c r="E64" s="45">
        <f>MAX(0,MIN(C64,$B$10-D64))</f>
        <v/>
      </c>
      <c r="F64" s="45">
        <f>MAX(0,C64-E64)</f>
        <v/>
      </c>
    </row>
    <row r="65">
      <c r="A65" s="43" t="n">
        <v>43</v>
      </c>
      <c r="B65" s="44" t="n">
        <v>47300</v>
      </c>
      <c r="C65" s="45">
        <f>F64</f>
        <v/>
      </c>
      <c r="D65" s="45">
        <f>MAX(0,C65*$B$9/12)</f>
        <v/>
      </c>
      <c r="E65" s="45">
        <f>MAX(0,MIN(C65,$B$10-D65))</f>
        <v/>
      </c>
      <c r="F65" s="45">
        <f>MAX(0,C65-E65)</f>
        <v/>
      </c>
    </row>
    <row r="66">
      <c r="A66" s="43" t="n">
        <v>44</v>
      </c>
      <c r="B66" s="44" t="n">
        <v>47331</v>
      </c>
      <c r="C66" s="45">
        <f>F65</f>
        <v/>
      </c>
      <c r="D66" s="45">
        <f>MAX(0,C66*$B$9/12)</f>
        <v/>
      </c>
      <c r="E66" s="45">
        <f>MAX(0,MIN(C66,$B$10-D66))</f>
        <v/>
      </c>
      <c r="F66" s="45">
        <f>MAX(0,C66-E66)</f>
        <v/>
      </c>
    </row>
    <row r="67">
      <c r="A67" s="43" t="n">
        <v>45</v>
      </c>
      <c r="B67" s="44" t="n">
        <v>47362</v>
      </c>
      <c r="C67" s="45">
        <f>F66</f>
        <v/>
      </c>
      <c r="D67" s="45">
        <f>MAX(0,C67*$B$9/12)</f>
        <v/>
      </c>
      <c r="E67" s="45">
        <f>MAX(0,MIN(C67,$B$10-D67))</f>
        <v/>
      </c>
      <c r="F67" s="45">
        <f>MAX(0,C67-E67)</f>
        <v/>
      </c>
    </row>
    <row r="68">
      <c r="A68" s="43" t="n">
        <v>46</v>
      </c>
      <c r="B68" s="44" t="n">
        <v>47392</v>
      </c>
      <c r="C68" s="45">
        <f>F67</f>
        <v/>
      </c>
      <c r="D68" s="45">
        <f>MAX(0,C68*$B$9/12)</f>
        <v/>
      </c>
      <c r="E68" s="45">
        <f>MAX(0,MIN(C68,$B$10-D68))</f>
        <v/>
      </c>
      <c r="F68" s="45">
        <f>MAX(0,C68-E68)</f>
        <v/>
      </c>
    </row>
    <row r="69">
      <c r="A69" s="43" t="n">
        <v>47</v>
      </c>
      <c r="B69" s="44" t="n">
        <v>47423</v>
      </c>
      <c r="C69" s="45">
        <f>F68</f>
        <v/>
      </c>
      <c r="D69" s="45">
        <f>MAX(0,C69*$B$9/12)</f>
        <v/>
      </c>
      <c r="E69" s="45">
        <f>MAX(0,MIN(C69,$B$10-D69))</f>
        <v/>
      </c>
      <c r="F69" s="45">
        <f>MAX(0,C69-E69)</f>
        <v/>
      </c>
    </row>
    <row r="72">
      <c r="A72" s="2" t="inlineStr">
        <is>
          <t>ANNUAL SUMMARY</t>
        </is>
      </c>
    </row>
    <row r="73">
      <c r="A73" s="46" t="inlineStr">
        <is>
          <t>Year</t>
        </is>
      </c>
      <c r="B73" s="46" t="inlineStr"/>
      <c r="C73" s="46" t="inlineStr">
        <is>
          <t>Total Interest</t>
        </is>
      </c>
      <c r="D73" s="46" t="inlineStr">
        <is>
          <t>Total Principal</t>
        </is>
      </c>
      <c r="E73" s="46" t="inlineStr">
        <is>
          <t>Year-End Balance</t>
        </is>
      </c>
    </row>
    <row r="74">
      <c r="A74" s="43" t="n">
        <v>2026</v>
      </c>
      <c r="C74" s="45">
        <f>SUM(D23:D34)</f>
        <v/>
      </c>
      <c r="D74" s="45">
        <f>SUM(E23:E34)</f>
        <v/>
      </c>
      <c r="E74" s="45">
        <f>F34</f>
        <v/>
      </c>
    </row>
    <row r="75">
      <c r="A75" s="43" t="n">
        <v>2027</v>
      </c>
      <c r="C75" s="45">
        <f>SUM(D35:D46)</f>
        <v/>
      </c>
      <c r="D75" s="45">
        <f>SUM(E35:E46)</f>
        <v/>
      </c>
      <c r="E75" s="45">
        <f>F46</f>
        <v/>
      </c>
    </row>
    <row r="76">
      <c r="A76" s="43" t="n">
        <v>2028</v>
      </c>
      <c r="C76" s="45">
        <f>SUM(D47:D58)</f>
        <v/>
      </c>
      <c r="D76" s="45">
        <f>SUM(E47:E58)</f>
        <v/>
      </c>
      <c r="E76" s="45">
        <f>F58</f>
        <v/>
      </c>
    </row>
    <row r="77">
      <c r="A77" s="43" t="n">
        <v>2029</v>
      </c>
      <c r="C77" s="45">
        <f>SUM(D59:D69)</f>
        <v/>
      </c>
      <c r="D77" s="45">
        <f>SUM(E59:E69)</f>
        <v/>
      </c>
      <c r="E77" s="45">
        <f>F69</f>
        <v/>
      </c>
    </row>
    <row r="80">
      <c r="A80" s="20" t="inlineStr">
        <is>
          <t>DEBT SCHEDULE REFERENCE</t>
        </is>
      </c>
    </row>
    <row r="81">
      <c r="A81" s="1" t="inlineStr">
        <is>
          <t>Current Balance:</t>
        </is>
      </c>
      <c r="B81" s="26">
        <f>B8</f>
        <v/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7.xml><?xml version="1.0" encoding="utf-8"?>
<worksheet xmlns="http://schemas.openxmlformats.org/spreadsheetml/2006/main">
  <sheetPr>
    <tabColor rgb="00808080"/>
    <outlinePr summaryBelow="1" summaryRight="1"/>
    <pageSetUpPr/>
  </sheetPr>
  <dimension ref="A1:F65"/>
  <sheetViews>
    <sheetView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16" customWidth="1" min="3" max="3"/>
    <col width="14" customWidth="1" min="4" max="4"/>
    <col width="14" customWidth="1" min="5" max="5"/>
    <col width="16" customWidth="1" min="6" max="6"/>
  </cols>
  <sheetData>
    <row r="1">
      <c r="A1" s="1" t="inlineStr">
        <is>
          <t>Lender:</t>
        </is>
      </c>
      <c r="B1" s="4" t="inlineStr">
        <is>
          <t>TriState Capital</t>
        </is>
      </c>
    </row>
    <row r="2">
      <c r="A2" s="1" t="inlineStr">
        <is>
          <t>Loan ID:</t>
        </is>
      </c>
      <c r="B2" s="4" t="inlineStr">
        <is>
          <t>05-2985-002-000-00</t>
        </is>
      </c>
    </row>
    <row r="3">
      <c r="A3" s="1" t="inlineStr">
        <is>
          <t>Description:</t>
        </is>
      </c>
      <c r="B3" s="4" t="inlineStr">
        <is>
          <t>3 Peterbilt 579s</t>
        </is>
      </c>
    </row>
    <row r="4">
      <c r="A4" s="1" t="inlineStr">
        <is>
          <t>Collateral:</t>
        </is>
      </c>
      <c r="B4" s="4" t="inlineStr">
        <is>
          <t>Equipment - Semi Trucks</t>
        </is>
      </c>
    </row>
    <row r="5">
      <c r="A5" s="1" t="inlineStr">
        <is>
          <t>Origination Date:</t>
        </is>
      </c>
      <c r="B5" s="4" t="inlineStr">
        <is>
          <t>02/03/2023</t>
        </is>
      </c>
    </row>
    <row r="6">
      <c r="A6" s="1" t="inlineStr">
        <is>
          <t>Maturity Date:</t>
        </is>
      </c>
      <c r="B6" s="4" t="inlineStr">
        <is>
          <t>08/01/2028</t>
        </is>
      </c>
    </row>
    <row r="7">
      <c r="A7" s="1" t="inlineStr">
        <is>
          <t>Original Balance:</t>
        </is>
      </c>
      <c r="B7" s="4" t="n">
        <v>609514.2</v>
      </c>
    </row>
    <row r="8">
      <c r="A8" s="1" t="inlineStr">
        <is>
          <t>Current Balance (12/31/2025):</t>
        </is>
      </c>
      <c r="B8" s="4" t="n">
        <v>317828</v>
      </c>
    </row>
    <row r="9">
      <c r="A9" s="1" t="inlineStr">
        <is>
          <t>Annual Interest Rate:</t>
        </is>
      </c>
      <c r="B9" s="4" t="n">
        <v>0.0535</v>
      </c>
    </row>
    <row r="10">
      <c r="A10" s="1" t="inlineStr">
        <is>
          <t>Monthly Payment:</t>
        </is>
      </c>
      <c r="B10" s="4" t="n">
        <v>10673</v>
      </c>
    </row>
    <row r="12">
      <c r="A12" s="20" t="inlineStr">
        <is>
          <t>AI ANALYSIS</t>
        </is>
      </c>
    </row>
    <row r="13">
      <c r="A13" s="9" t="inlineStr">
        <is>
          <t>Loan Type: AMORTIZING</t>
        </is>
      </c>
    </row>
    <row r="14">
      <c r="A14" s="9" t="inlineStr">
        <is>
          <t>Amortization: Standard fixed-payment amortization</t>
        </is>
      </c>
    </row>
    <row r="15">
      <c r="A15" s="9" t="inlineStr">
        <is>
          <t>Collateral Type: Equipment - Semi Trucks</t>
        </is>
      </c>
    </row>
    <row r="16">
      <c r="A16" s="9" t="inlineStr">
        <is>
          <t>Remaining term calculated from current balance</t>
        </is>
      </c>
    </row>
    <row r="17">
      <c r="A17" s="9" t="inlineStr">
        <is>
          <t>Interest = MAX(0, Opening * Rate/12)</t>
        </is>
      </c>
    </row>
    <row r="18">
      <c r="A18" s="9" t="inlineStr">
        <is>
          <t>Principal = MAX(0, MIN(Opening, Payment - Interest))</t>
        </is>
      </c>
    </row>
    <row r="19">
      <c r="A19" s="9" t="inlineStr">
        <is>
          <t>Closing = MAX(0, Opening - Principal)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43" t="n">
        <v>1</v>
      </c>
      <c r="B23" s="44" t="n">
        <v>46023</v>
      </c>
      <c r="C23" s="45">
        <f>B8</f>
        <v/>
      </c>
      <c r="D23" s="45">
        <f>MAX(0,C23*$B$9/12)</f>
        <v/>
      </c>
      <c r="E23" s="45">
        <f>MAX(0,MIN(C23,$B$10-D23))</f>
        <v/>
      </c>
      <c r="F23" s="45">
        <f>MAX(0,C23-E23)</f>
        <v/>
      </c>
    </row>
    <row r="24">
      <c r="A24" s="43" t="n">
        <v>2</v>
      </c>
      <c r="B24" s="44" t="n">
        <v>46054</v>
      </c>
      <c r="C24" s="45">
        <f>F23</f>
        <v/>
      </c>
      <c r="D24" s="45">
        <f>MAX(0,C24*$B$9/12)</f>
        <v/>
      </c>
      <c r="E24" s="45">
        <f>MAX(0,MIN(C24,$B$10-D24))</f>
        <v/>
      </c>
      <c r="F24" s="45">
        <f>MAX(0,C24-E24)</f>
        <v/>
      </c>
    </row>
    <row r="25">
      <c r="A25" s="43" t="n">
        <v>3</v>
      </c>
      <c r="B25" s="44" t="n">
        <v>46082</v>
      </c>
      <c r="C25" s="45">
        <f>F24</f>
        <v/>
      </c>
      <c r="D25" s="45">
        <f>MAX(0,C25*$B$9/12)</f>
        <v/>
      </c>
      <c r="E25" s="45">
        <f>MAX(0,MIN(C25,$B$10-D25))</f>
        <v/>
      </c>
      <c r="F25" s="45">
        <f>MAX(0,C25-E25)</f>
        <v/>
      </c>
    </row>
    <row r="26">
      <c r="A26" s="43" t="n">
        <v>4</v>
      </c>
      <c r="B26" s="44" t="n">
        <v>46113</v>
      </c>
      <c r="C26" s="45">
        <f>F25</f>
        <v/>
      </c>
      <c r="D26" s="45">
        <f>MAX(0,C26*$B$9/12)</f>
        <v/>
      </c>
      <c r="E26" s="45">
        <f>MAX(0,MIN(C26,$B$10-D26))</f>
        <v/>
      </c>
      <c r="F26" s="45">
        <f>MAX(0,C26-E26)</f>
        <v/>
      </c>
    </row>
    <row r="27">
      <c r="A27" s="43" t="n">
        <v>5</v>
      </c>
      <c r="B27" s="44" t="n">
        <v>46143</v>
      </c>
      <c r="C27" s="45">
        <f>F26</f>
        <v/>
      </c>
      <c r="D27" s="45">
        <f>MAX(0,C27*$B$9/12)</f>
        <v/>
      </c>
      <c r="E27" s="45">
        <f>MAX(0,MIN(C27,$B$10-D27))</f>
        <v/>
      </c>
      <c r="F27" s="45">
        <f>MAX(0,C27-E27)</f>
        <v/>
      </c>
    </row>
    <row r="28">
      <c r="A28" s="43" t="n">
        <v>6</v>
      </c>
      <c r="B28" s="44" t="n">
        <v>46174</v>
      </c>
      <c r="C28" s="45">
        <f>F27</f>
        <v/>
      </c>
      <c r="D28" s="45">
        <f>MAX(0,C28*$B$9/12)</f>
        <v/>
      </c>
      <c r="E28" s="45">
        <f>MAX(0,MIN(C28,$B$10-D28))</f>
        <v/>
      </c>
      <c r="F28" s="45">
        <f>MAX(0,C28-E28)</f>
        <v/>
      </c>
    </row>
    <row r="29">
      <c r="A29" s="43" t="n">
        <v>7</v>
      </c>
      <c r="B29" s="44" t="n">
        <v>46204</v>
      </c>
      <c r="C29" s="45">
        <f>F28</f>
        <v/>
      </c>
      <c r="D29" s="45">
        <f>MAX(0,C29*$B$9/12)</f>
        <v/>
      </c>
      <c r="E29" s="45">
        <f>MAX(0,MIN(C29,$B$10-D29))</f>
        <v/>
      </c>
      <c r="F29" s="45">
        <f>MAX(0,C29-E29)</f>
        <v/>
      </c>
    </row>
    <row r="30">
      <c r="A30" s="43" t="n">
        <v>8</v>
      </c>
      <c r="B30" s="44" t="n">
        <v>46235</v>
      </c>
      <c r="C30" s="45">
        <f>F29</f>
        <v/>
      </c>
      <c r="D30" s="45">
        <f>MAX(0,C30*$B$9/12)</f>
        <v/>
      </c>
      <c r="E30" s="45">
        <f>MAX(0,MIN(C30,$B$10-D30))</f>
        <v/>
      </c>
      <c r="F30" s="45">
        <f>MAX(0,C30-E30)</f>
        <v/>
      </c>
    </row>
    <row r="31">
      <c r="A31" s="43" t="n">
        <v>9</v>
      </c>
      <c r="B31" s="44" t="n">
        <v>46266</v>
      </c>
      <c r="C31" s="45">
        <f>F30</f>
        <v/>
      </c>
      <c r="D31" s="45">
        <f>MAX(0,C31*$B$9/12)</f>
        <v/>
      </c>
      <c r="E31" s="45">
        <f>MAX(0,MIN(C31,$B$10-D31))</f>
        <v/>
      </c>
      <c r="F31" s="45">
        <f>MAX(0,C31-E31)</f>
        <v/>
      </c>
    </row>
    <row r="32">
      <c r="A32" s="43" t="n">
        <v>10</v>
      </c>
      <c r="B32" s="44" t="n">
        <v>46296</v>
      </c>
      <c r="C32" s="45">
        <f>F31</f>
        <v/>
      </c>
      <c r="D32" s="45">
        <f>MAX(0,C32*$B$9/12)</f>
        <v/>
      </c>
      <c r="E32" s="45">
        <f>MAX(0,MIN(C32,$B$10-D32))</f>
        <v/>
      </c>
      <c r="F32" s="45">
        <f>MAX(0,C32-E32)</f>
        <v/>
      </c>
    </row>
    <row r="33">
      <c r="A33" s="43" t="n">
        <v>11</v>
      </c>
      <c r="B33" s="44" t="n">
        <v>46327</v>
      </c>
      <c r="C33" s="45">
        <f>F32</f>
        <v/>
      </c>
      <c r="D33" s="45">
        <f>MAX(0,C33*$B$9/12)</f>
        <v/>
      </c>
      <c r="E33" s="45">
        <f>MAX(0,MIN(C33,$B$10-D33))</f>
        <v/>
      </c>
      <c r="F33" s="45">
        <f>MAX(0,C33-E33)</f>
        <v/>
      </c>
    </row>
    <row r="34">
      <c r="A34" s="43" t="n">
        <v>12</v>
      </c>
      <c r="B34" s="44" t="n">
        <v>46357</v>
      </c>
      <c r="C34" s="45">
        <f>F33</f>
        <v/>
      </c>
      <c r="D34" s="45">
        <f>MAX(0,C34*$B$9/12)</f>
        <v/>
      </c>
      <c r="E34" s="45">
        <f>MAX(0,MIN(C34,$B$10-D34))</f>
        <v/>
      </c>
      <c r="F34" s="45">
        <f>MAX(0,C34-E34)</f>
        <v/>
      </c>
    </row>
    <row r="35">
      <c r="A35" s="43" t="n">
        <v>13</v>
      </c>
      <c r="B35" s="44" t="n">
        <v>46388</v>
      </c>
      <c r="C35" s="45">
        <f>F34</f>
        <v/>
      </c>
      <c r="D35" s="45">
        <f>MAX(0,C35*$B$9/12)</f>
        <v/>
      </c>
      <c r="E35" s="45">
        <f>MAX(0,MIN(C35,$B$10-D35))</f>
        <v/>
      </c>
      <c r="F35" s="45">
        <f>MAX(0,C35-E35)</f>
        <v/>
      </c>
    </row>
    <row r="36">
      <c r="A36" s="43" t="n">
        <v>14</v>
      </c>
      <c r="B36" s="44" t="n">
        <v>46419</v>
      </c>
      <c r="C36" s="45">
        <f>F35</f>
        <v/>
      </c>
      <c r="D36" s="45">
        <f>MAX(0,C36*$B$9/12)</f>
        <v/>
      </c>
      <c r="E36" s="45">
        <f>MAX(0,MIN(C36,$B$10-D36))</f>
        <v/>
      </c>
      <c r="F36" s="45">
        <f>MAX(0,C36-E36)</f>
        <v/>
      </c>
    </row>
    <row r="37">
      <c r="A37" s="43" t="n">
        <v>15</v>
      </c>
      <c r="B37" s="44" t="n">
        <v>46447</v>
      </c>
      <c r="C37" s="45">
        <f>F36</f>
        <v/>
      </c>
      <c r="D37" s="45">
        <f>MAX(0,C37*$B$9/12)</f>
        <v/>
      </c>
      <c r="E37" s="45">
        <f>MAX(0,MIN(C37,$B$10-D37))</f>
        <v/>
      </c>
      <c r="F37" s="45">
        <f>MAX(0,C37-E37)</f>
        <v/>
      </c>
    </row>
    <row r="38">
      <c r="A38" s="43" t="n">
        <v>16</v>
      </c>
      <c r="B38" s="44" t="n">
        <v>46478</v>
      </c>
      <c r="C38" s="45">
        <f>F37</f>
        <v/>
      </c>
      <c r="D38" s="45">
        <f>MAX(0,C38*$B$9/12)</f>
        <v/>
      </c>
      <c r="E38" s="45">
        <f>MAX(0,MIN(C38,$B$10-D38))</f>
        <v/>
      </c>
      <c r="F38" s="45">
        <f>MAX(0,C38-E38)</f>
        <v/>
      </c>
    </row>
    <row r="39">
      <c r="A39" s="43" t="n">
        <v>17</v>
      </c>
      <c r="B39" s="44" t="n">
        <v>46508</v>
      </c>
      <c r="C39" s="45">
        <f>F38</f>
        <v/>
      </c>
      <c r="D39" s="45">
        <f>MAX(0,C39*$B$9/12)</f>
        <v/>
      </c>
      <c r="E39" s="45">
        <f>MAX(0,MIN(C39,$B$10-D39))</f>
        <v/>
      </c>
      <c r="F39" s="45">
        <f>MAX(0,C39-E39)</f>
        <v/>
      </c>
    </row>
    <row r="40">
      <c r="A40" s="43" t="n">
        <v>18</v>
      </c>
      <c r="B40" s="44" t="n">
        <v>46539</v>
      </c>
      <c r="C40" s="45">
        <f>F39</f>
        <v/>
      </c>
      <c r="D40" s="45">
        <f>MAX(0,C40*$B$9/12)</f>
        <v/>
      </c>
      <c r="E40" s="45">
        <f>MAX(0,MIN(C40,$B$10-D40))</f>
        <v/>
      </c>
      <c r="F40" s="45">
        <f>MAX(0,C40-E40)</f>
        <v/>
      </c>
    </row>
    <row r="41">
      <c r="A41" s="43" t="n">
        <v>19</v>
      </c>
      <c r="B41" s="44" t="n">
        <v>46569</v>
      </c>
      <c r="C41" s="45">
        <f>F40</f>
        <v/>
      </c>
      <c r="D41" s="45">
        <f>MAX(0,C41*$B$9/12)</f>
        <v/>
      </c>
      <c r="E41" s="45">
        <f>MAX(0,MIN(C41,$B$10-D41))</f>
        <v/>
      </c>
      <c r="F41" s="45">
        <f>MAX(0,C41-E41)</f>
        <v/>
      </c>
    </row>
    <row r="42">
      <c r="A42" s="43" t="n">
        <v>20</v>
      </c>
      <c r="B42" s="44" t="n">
        <v>46600</v>
      </c>
      <c r="C42" s="45">
        <f>F41</f>
        <v/>
      </c>
      <c r="D42" s="45">
        <f>MAX(0,C42*$B$9/12)</f>
        <v/>
      </c>
      <c r="E42" s="45">
        <f>MAX(0,MIN(C42,$B$10-D42))</f>
        <v/>
      </c>
      <c r="F42" s="45">
        <f>MAX(0,C42-E42)</f>
        <v/>
      </c>
    </row>
    <row r="43">
      <c r="A43" s="43" t="n">
        <v>21</v>
      </c>
      <c r="B43" s="44" t="n">
        <v>46631</v>
      </c>
      <c r="C43" s="45">
        <f>F42</f>
        <v/>
      </c>
      <c r="D43" s="45">
        <f>MAX(0,C43*$B$9/12)</f>
        <v/>
      </c>
      <c r="E43" s="45">
        <f>MAX(0,MIN(C43,$B$10-D43))</f>
        <v/>
      </c>
      <c r="F43" s="45">
        <f>MAX(0,C43-E43)</f>
        <v/>
      </c>
    </row>
    <row r="44">
      <c r="A44" s="43" t="n">
        <v>22</v>
      </c>
      <c r="B44" s="44" t="n">
        <v>46661</v>
      </c>
      <c r="C44" s="45">
        <f>F43</f>
        <v/>
      </c>
      <c r="D44" s="45">
        <f>MAX(0,C44*$B$9/12)</f>
        <v/>
      </c>
      <c r="E44" s="45">
        <f>MAX(0,MIN(C44,$B$10-D44))</f>
        <v/>
      </c>
      <c r="F44" s="45">
        <f>MAX(0,C44-E44)</f>
        <v/>
      </c>
    </row>
    <row r="45">
      <c r="A45" s="43" t="n">
        <v>23</v>
      </c>
      <c r="B45" s="44" t="n">
        <v>46692</v>
      </c>
      <c r="C45" s="45">
        <f>F44</f>
        <v/>
      </c>
      <c r="D45" s="45">
        <f>MAX(0,C45*$B$9/12)</f>
        <v/>
      </c>
      <c r="E45" s="45">
        <f>MAX(0,MIN(C45,$B$10-D45))</f>
        <v/>
      </c>
      <c r="F45" s="45">
        <f>MAX(0,C45-E45)</f>
        <v/>
      </c>
    </row>
    <row r="46">
      <c r="A46" s="43" t="n">
        <v>24</v>
      </c>
      <c r="B46" s="44" t="n">
        <v>46722</v>
      </c>
      <c r="C46" s="45">
        <f>F45</f>
        <v/>
      </c>
      <c r="D46" s="45">
        <f>MAX(0,C46*$B$9/12)</f>
        <v/>
      </c>
      <c r="E46" s="45">
        <f>MAX(0,MIN(C46,$B$10-D46))</f>
        <v/>
      </c>
      <c r="F46" s="45">
        <f>MAX(0,C46-E46)</f>
        <v/>
      </c>
    </row>
    <row r="47">
      <c r="A47" s="43" t="n">
        <v>25</v>
      </c>
      <c r="B47" s="44" t="n">
        <v>46753</v>
      </c>
      <c r="C47" s="45">
        <f>F46</f>
        <v/>
      </c>
      <c r="D47" s="45">
        <f>MAX(0,C47*$B$9/12)</f>
        <v/>
      </c>
      <c r="E47" s="45">
        <f>MAX(0,MIN(C47,$B$10-D47))</f>
        <v/>
      </c>
      <c r="F47" s="45">
        <f>MAX(0,C47-E47)</f>
        <v/>
      </c>
    </row>
    <row r="48">
      <c r="A48" s="43" t="n">
        <v>26</v>
      </c>
      <c r="B48" s="44" t="n">
        <v>46784</v>
      </c>
      <c r="C48" s="45">
        <f>F47</f>
        <v/>
      </c>
      <c r="D48" s="45">
        <f>MAX(0,C48*$B$9/12)</f>
        <v/>
      </c>
      <c r="E48" s="45">
        <f>MAX(0,MIN(C48,$B$10-D48))</f>
        <v/>
      </c>
      <c r="F48" s="45">
        <f>MAX(0,C48-E48)</f>
        <v/>
      </c>
    </row>
    <row r="49">
      <c r="A49" s="43" t="n">
        <v>27</v>
      </c>
      <c r="B49" s="44" t="n">
        <v>46813</v>
      </c>
      <c r="C49" s="45">
        <f>F48</f>
        <v/>
      </c>
      <c r="D49" s="45">
        <f>MAX(0,C49*$B$9/12)</f>
        <v/>
      </c>
      <c r="E49" s="45">
        <f>MAX(0,MIN(C49,$B$10-D49))</f>
        <v/>
      </c>
      <c r="F49" s="45">
        <f>MAX(0,C49-E49)</f>
        <v/>
      </c>
    </row>
    <row r="50">
      <c r="A50" s="43" t="n">
        <v>28</v>
      </c>
      <c r="B50" s="44" t="n">
        <v>46844</v>
      </c>
      <c r="C50" s="45">
        <f>F49</f>
        <v/>
      </c>
      <c r="D50" s="45">
        <f>MAX(0,C50*$B$9/12)</f>
        <v/>
      </c>
      <c r="E50" s="45">
        <f>MAX(0,MIN(C50,$B$10-D50))</f>
        <v/>
      </c>
      <c r="F50" s="45">
        <f>MAX(0,C50-E50)</f>
        <v/>
      </c>
    </row>
    <row r="51">
      <c r="A51" s="43" t="n">
        <v>29</v>
      </c>
      <c r="B51" s="44" t="n">
        <v>46874</v>
      </c>
      <c r="C51" s="45">
        <f>F50</f>
        <v/>
      </c>
      <c r="D51" s="45">
        <f>MAX(0,C51*$B$9/12)</f>
        <v/>
      </c>
      <c r="E51" s="45">
        <f>MAX(0,MIN(C51,$B$10-D51))</f>
        <v/>
      </c>
      <c r="F51" s="45">
        <f>MAX(0,C51-E51)</f>
        <v/>
      </c>
    </row>
    <row r="52">
      <c r="A52" s="43" t="n">
        <v>30</v>
      </c>
      <c r="B52" s="44" t="n">
        <v>46905</v>
      </c>
      <c r="C52" s="45">
        <f>F51</f>
        <v/>
      </c>
      <c r="D52" s="45">
        <f>MAX(0,C52*$B$9/12)</f>
        <v/>
      </c>
      <c r="E52" s="45">
        <f>MAX(0,MIN(C52,$B$10-D52))</f>
        <v/>
      </c>
      <c r="F52" s="45">
        <f>MAX(0,C52-E52)</f>
        <v/>
      </c>
    </row>
    <row r="53">
      <c r="A53" s="43" t="n">
        <v>31</v>
      </c>
      <c r="B53" s="44" t="n">
        <v>46935</v>
      </c>
      <c r="C53" s="45">
        <f>F52</f>
        <v/>
      </c>
      <c r="D53" s="45">
        <f>MAX(0,C53*$B$9/12)</f>
        <v/>
      </c>
      <c r="E53" s="45">
        <f>MAX(0,MIN(C53,$B$10-D53))</f>
        <v/>
      </c>
      <c r="F53" s="45">
        <f>MAX(0,C53-E53)</f>
        <v/>
      </c>
    </row>
    <row r="54">
      <c r="A54" s="43" t="n">
        <v>32</v>
      </c>
      <c r="B54" s="44" t="n">
        <v>46966</v>
      </c>
      <c r="C54" s="45">
        <f>F53</f>
        <v/>
      </c>
      <c r="D54" s="45">
        <f>MAX(0,C54*$B$9/12)</f>
        <v/>
      </c>
      <c r="E54" s="45">
        <f>MAX(0,MIN(C54,$B$10-D54))</f>
        <v/>
      </c>
      <c r="F54" s="45">
        <f>MAX(0,C54-E54)</f>
        <v/>
      </c>
    </row>
    <row r="57">
      <c r="A57" s="2" t="inlineStr">
        <is>
          <t>ANNUAL SUMMARY</t>
        </is>
      </c>
    </row>
    <row r="58">
      <c r="A58" s="46" t="inlineStr">
        <is>
          <t>Year</t>
        </is>
      </c>
      <c r="B58" s="46" t="inlineStr"/>
      <c r="C58" s="46" t="inlineStr">
        <is>
          <t>Total Interest</t>
        </is>
      </c>
      <c r="D58" s="46" t="inlineStr">
        <is>
          <t>Total Principal</t>
        </is>
      </c>
      <c r="E58" s="46" t="inlineStr">
        <is>
          <t>Year-End Balance</t>
        </is>
      </c>
    </row>
    <row r="59">
      <c r="A59" s="43" t="n">
        <v>2026</v>
      </c>
      <c r="C59" s="45">
        <f>SUM(D23:D34)</f>
        <v/>
      </c>
      <c r="D59" s="45">
        <f>SUM(E23:E34)</f>
        <v/>
      </c>
      <c r="E59" s="45">
        <f>F34</f>
        <v/>
      </c>
    </row>
    <row r="60">
      <c r="A60" s="43" t="n">
        <v>2027</v>
      </c>
      <c r="C60" s="45">
        <f>SUM(D35:D46)</f>
        <v/>
      </c>
      <c r="D60" s="45">
        <f>SUM(E35:E46)</f>
        <v/>
      </c>
      <c r="E60" s="45">
        <f>F46</f>
        <v/>
      </c>
    </row>
    <row r="61">
      <c r="A61" s="43" t="n">
        <v>2028</v>
      </c>
      <c r="C61" s="45">
        <f>SUM(D47:D54)</f>
        <v/>
      </c>
      <c r="D61" s="45">
        <f>SUM(E47:E54)</f>
        <v/>
      </c>
      <c r="E61" s="45">
        <f>F54</f>
        <v/>
      </c>
    </row>
    <row r="64">
      <c r="A64" s="20" t="inlineStr">
        <is>
          <t>DEBT SCHEDULE REFERENCE</t>
        </is>
      </c>
    </row>
    <row r="65">
      <c r="A65" s="1" t="inlineStr">
        <is>
          <t>Current Balance:</t>
        </is>
      </c>
      <c r="B65" s="26">
        <f>B8</f>
        <v/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8.xml><?xml version="1.0" encoding="utf-8"?>
<worksheet xmlns="http://schemas.openxmlformats.org/spreadsheetml/2006/main">
  <sheetPr>
    <tabColor rgb="00808080"/>
    <outlinePr summaryBelow="1" summaryRight="1"/>
    <pageSetUpPr/>
  </sheetPr>
  <dimension ref="A1:F66"/>
  <sheetViews>
    <sheetView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16" customWidth="1" min="3" max="3"/>
    <col width="14" customWidth="1" min="4" max="4"/>
    <col width="14" customWidth="1" min="5" max="5"/>
    <col width="16" customWidth="1" min="6" max="6"/>
  </cols>
  <sheetData>
    <row r="1">
      <c r="A1" s="1" t="inlineStr">
        <is>
          <t>Lender:</t>
        </is>
      </c>
      <c r="B1" s="4" t="inlineStr">
        <is>
          <t>TriState Capital</t>
        </is>
      </c>
    </row>
    <row r="2">
      <c r="A2" s="1" t="inlineStr">
        <is>
          <t>Loan ID:</t>
        </is>
      </c>
      <c r="B2" s="4" t="inlineStr">
        <is>
          <t>05-2985-003-000-00</t>
        </is>
      </c>
    </row>
    <row r="3">
      <c r="A3" s="1" t="inlineStr">
        <is>
          <t>Description:</t>
        </is>
      </c>
      <c r="B3" s="4" t="inlineStr">
        <is>
          <t>2 Peterbilt 579s</t>
        </is>
      </c>
    </row>
    <row r="4">
      <c r="A4" s="1" t="inlineStr">
        <is>
          <t>Collateral:</t>
        </is>
      </c>
      <c r="B4" s="4" t="inlineStr">
        <is>
          <t>Equipment - Semi Trucks</t>
        </is>
      </c>
    </row>
    <row r="5">
      <c r="A5" s="1" t="inlineStr">
        <is>
          <t>Origination Date:</t>
        </is>
      </c>
      <c r="B5" s="4" t="inlineStr">
        <is>
          <t>02/24/2023</t>
        </is>
      </c>
    </row>
    <row r="6">
      <c r="A6" s="1" t="inlineStr">
        <is>
          <t>Maturity Date:</t>
        </is>
      </c>
      <c r="B6" s="4" t="inlineStr">
        <is>
          <t>09/01/2028</t>
        </is>
      </c>
    </row>
    <row r="7">
      <c r="A7" s="1" t="inlineStr">
        <is>
          <t>Original Balance:</t>
        </is>
      </c>
      <c r="B7" s="4" t="n">
        <v>406642.8</v>
      </c>
    </row>
    <row r="8">
      <c r="A8" s="1" t="inlineStr">
        <is>
          <t>Current Balance (12/31/2025):</t>
        </is>
      </c>
      <c r="B8" s="4" t="n">
        <v>220016</v>
      </c>
    </row>
    <row r="9">
      <c r="A9" s="1" t="inlineStr">
        <is>
          <t>Annual Interest Rate:</t>
        </is>
      </c>
      <c r="B9" s="4" t="n">
        <v>0.0585</v>
      </c>
    </row>
    <row r="10">
      <c r="A10" s="1" t="inlineStr">
        <is>
          <t>Monthly Payment:</t>
        </is>
      </c>
      <c r="B10" s="4" t="n">
        <v>7229</v>
      </c>
    </row>
    <row r="12">
      <c r="A12" s="20" t="inlineStr">
        <is>
          <t>AI ANALYSIS</t>
        </is>
      </c>
    </row>
    <row r="13">
      <c r="A13" s="9" t="inlineStr">
        <is>
          <t>Loan Type: AMORTIZING</t>
        </is>
      </c>
    </row>
    <row r="14">
      <c r="A14" s="9" t="inlineStr">
        <is>
          <t>Amortization: Standard fixed-payment amortization</t>
        </is>
      </c>
    </row>
    <row r="15">
      <c r="A15" s="9" t="inlineStr">
        <is>
          <t>Collateral Type: Equipment - Semi Trucks</t>
        </is>
      </c>
    </row>
    <row r="16">
      <c r="A16" s="9" t="inlineStr">
        <is>
          <t>Remaining term calculated from current balance</t>
        </is>
      </c>
    </row>
    <row r="17">
      <c r="A17" s="9" t="inlineStr">
        <is>
          <t>Interest = MAX(0, Opening * Rate/12)</t>
        </is>
      </c>
    </row>
    <row r="18">
      <c r="A18" s="9" t="inlineStr">
        <is>
          <t>Principal = MAX(0, MIN(Opening, Payment - Interest))</t>
        </is>
      </c>
    </row>
    <row r="19">
      <c r="A19" s="9" t="inlineStr">
        <is>
          <t>Closing = MAX(0, Opening - Principal)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43" t="n">
        <v>1</v>
      </c>
      <c r="B23" s="44" t="n">
        <v>46023</v>
      </c>
      <c r="C23" s="45">
        <f>B8</f>
        <v/>
      </c>
      <c r="D23" s="45">
        <f>MAX(0,C23*$B$9/12)</f>
        <v/>
      </c>
      <c r="E23" s="45">
        <f>MAX(0,MIN(C23,$B$10-D23))</f>
        <v/>
      </c>
      <c r="F23" s="45">
        <f>MAX(0,C23-E23)</f>
        <v/>
      </c>
    </row>
    <row r="24">
      <c r="A24" s="43" t="n">
        <v>2</v>
      </c>
      <c r="B24" s="44" t="n">
        <v>46054</v>
      </c>
      <c r="C24" s="45">
        <f>F23</f>
        <v/>
      </c>
      <c r="D24" s="45">
        <f>MAX(0,C24*$B$9/12)</f>
        <v/>
      </c>
      <c r="E24" s="45">
        <f>MAX(0,MIN(C24,$B$10-D24))</f>
        <v/>
      </c>
      <c r="F24" s="45">
        <f>MAX(0,C24-E24)</f>
        <v/>
      </c>
    </row>
    <row r="25">
      <c r="A25" s="43" t="n">
        <v>3</v>
      </c>
      <c r="B25" s="44" t="n">
        <v>46082</v>
      </c>
      <c r="C25" s="45">
        <f>F24</f>
        <v/>
      </c>
      <c r="D25" s="45">
        <f>MAX(0,C25*$B$9/12)</f>
        <v/>
      </c>
      <c r="E25" s="45">
        <f>MAX(0,MIN(C25,$B$10-D25))</f>
        <v/>
      </c>
      <c r="F25" s="45">
        <f>MAX(0,C25-E25)</f>
        <v/>
      </c>
    </row>
    <row r="26">
      <c r="A26" s="43" t="n">
        <v>4</v>
      </c>
      <c r="B26" s="44" t="n">
        <v>46113</v>
      </c>
      <c r="C26" s="45">
        <f>F25</f>
        <v/>
      </c>
      <c r="D26" s="45">
        <f>MAX(0,C26*$B$9/12)</f>
        <v/>
      </c>
      <c r="E26" s="45">
        <f>MAX(0,MIN(C26,$B$10-D26))</f>
        <v/>
      </c>
      <c r="F26" s="45">
        <f>MAX(0,C26-E26)</f>
        <v/>
      </c>
    </row>
    <row r="27">
      <c r="A27" s="43" t="n">
        <v>5</v>
      </c>
      <c r="B27" s="44" t="n">
        <v>46143</v>
      </c>
      <c r="C27" s="45">
        <f>F26</f>
        <v/>
      </c>
      <c r="D27" s="45">
        <f>MAX(0,C27*$B$9/12)</f>
        <v/>
      </c>
      <c r="E27" s="45">
        <f>MAX(0,MIN(C27,$B$10-D27))</f>
        <v/>
      </c>
      <c r="F27" s="45">
        <f>MAX(0,C27-E27)</f>
        <v/>
      </c>
    </row>
    <row r="28">
      <c r="A28" s="43" t="n">
        <v>6</v>
      </c>
      <c r="B28" s="44" t="n">
        <v>46174</v>
      </c>
      <c r="C28" s="45">
        <f>F27</f>
        <v/>
      </c>
      <c r="D28" s="45">
        <f>MAX(0,C28*$B$9/12)</f>
        <v/>
      </c>
      <c r="E28" s="45">
        <f>MAX(0,MIN(C28,$B$10-D28))</f>
        <v/>
      </c>
      <c r="F28" s="45">
        <f>MAX(0,C28-E28)</f>
        <v/>
      </c>
    </row>
    <row r="29">
      <c r="A29" s="43" t="n">
        <v>7</v>
      </c>
      <c r="B29" s="44" t="n">
        <v>46204</v>
      </c>
      <c r="C29" s="45">
        <f>F28</f>
        <v/>
      </c>
      <c r="D29" s="45">
        <f>MAX(0,C29*$B$9/12)</f>
        <v/>
      </c>
      <c r="E29" s="45">
        <f>MAX(0,MIN(C29,$B$10-D29))</f>
        <v/>
      </c>
      <c r="F29" s="45">
        <f>MAX(0,C29-E29)</f>
        <v/>
      </c>
    </row>
    <row r="30">
      <c r="A30" s="43" t="n">
        <v>8</v>
      </c>
      <c r="B30" s="44" t="n">
        <v>46235</v>
      </c>
      <c r="C30" s="45">
        <f>F29</f>
        <v/>
      </c>
      <c r="D30" s="45">
        <f>MAX(0,C30*$B$9/12)</f>
        <v/>
      </c>
      <c r="E30" s="45">
        <f>MAX(0,MIN(C30,$B$10-D30))</f>
        <v/>
      </c>
      <c r="F30" s="45">
        <f>MAX(0,C30-E30)</f>
        <v/>
      </c>
    </row>
    <row r="31">
      <c r="A31" s="43" t="n">
        <v>9</v>
      </c>
      <c r="B31" s="44" t="n">
        <v>46266</v>
      </c>
      <c r="C31" s="45">
        <f>F30</f>
        <v/>
      </c>
      <c r="D31" s="45">
        <f>MAX(0,C31*$B$9/12)</f>
        <v/>
      </c>
      <c r="E31" s="45">
        <f>MAX(0,MIN(C31,$B$10-D31))</f>
        <v/>
      </c>
      <c r="F31" s="45">
        <f>MAX(0,C31-E31)</f>
        <v/>
      </c>
    </row>
    <row r="32">
      <c r="A32" s="43" t="n">
        <v>10</v>
      </c>
      <c r="B32" s="44" t="n">
        <v>46296</v>
      </c>
      <c r="C32" s="45">
        <f>F31</f>
        <v/>
      </c>
      <c r="D32" s="45">
        <f>MAX(0,C32*$B$9/12)</f>
        <v/>
      </c>
      <c r="E32" s="45">
        <f>MAX(0,MIN(C32,$B$10-D32))</f>
        <v/>
      </c>
      <c r="F32" s="45">
        <f>MAX(0,C32-E32)</f>
        <v/>
      </c>
    </row>
    <row r="33">
      <c r="A33" s="43" t="n">
        <v>11</v>
      </c>
      <c r="B33" s="44" t="n">
        <v>46327</v>
      </c>
      <c r="C33" s="45">
        <f>F32</f>
        <v/>
      </c>
      <c r="D33" s="45">
        <f>MAX(0,C33*$B$9/12)</f>
        <v/>
      </c>
      <c r="E33" s="45">
        <f>MAX(0,MIN(C33,$B$10-D33))</f>
        <v/>
      </c>
      <c r="F33" s="45">
        <f>MAX(0,C33-E33)</f>
        <v/>
      </c>
    </row>
    <row r="34">
      <c r="A34" s="43" t="n">
        <v>12</v>
      </c>
      <c r="B34" s="44" t="n">
        <v>46357</v>
      </c>
      <c r="C34" s="45">
        <f>F33</f>
        <v/>
      </c>
      <c r="D34" s="45">
        <f>MAX(0,C34*$B$9/12)</f>
        <v/>
      </c>
      <c r="E34" s="45">
        <f>MAX(0,MIN(C34,$B$10-D34))</f>
        <v/>
      </c>
      <c r="F34" s="45">
        <f>MAX(0,C34-E34)</f>
        <v/>
      </c>
    </row>
    <row r="35">
      <c r="A35" s="43" t="n">
        <v>13</v>
      </c>
      <c r="B35" s="44" t="n">
        <v>46388</v>
      </c>
      <c r="C35" s="45">
        <f>F34</f>
        <v/>
      </c>
      <c r="D35" s="45">
        <f>MAX(0,C35*$B$9/12)</f>
        <v/>
      </c>
      <c r="E35" s="45">
        <f>MAX(0,MIN(C35,$B$10-D35))</f>
        <v/>
      </c>
      <c r="F35" s="45">
        <f>MAX(0,C35-E35)</f>
        <v/>
      </c>
    </row>
    <row r="36">
      <c r="A36" s="43" t="n">
        <v>14</v>
      </c>
      <c r="B36" s="44" t="n">
        <v>46419</v>
      </c>
      <c r="C36" s="45">
        <f>F35</f>
        <v/>
      </c>
      <c r="D36" s="45">
        <f>MAX(0,C36*$B$9/12)</f>
        <v/>
      </c>
      <c r="E36" s="45">
        <f>MAX(0,MIN(C36,$B$10-D36))</f>
        <v/>
      </c>
      <c r="F36" s="45">
        <f>MAX(0,C36-E36)</f>
        <v/>
      </c>
    </row>
    <row r="37">
      <c r="A37" s="43" t="n">
        <v>15</v>
      </c>
      <c r="B37" s="44" t="n">
        <v>46447</v>
      </c>
      <c r="C37" s="45">
        <f>F36</f>
        <v/>
      </c>
      <c r="D37" s="45">
        <f>MAX(0,C37*$B$9/12)</f>
        <v/>
      </c>
      <c r="E37" s="45">
        <f>MAX(0,MIN(C37,$B$10-D37))</f>
        <v/>
      </c>
      <c r="F37" s="45">
        <f>MAX(0,C37-E37)</f>
        <v/>
      </c>
    </row>
    <row r="38">
      <c r="A38" s="43" t="n">
        <v>16</v>
      </c>
      <c r="B38" s="44" t="n">
        <v>46478</v>
      </c>
      <c r="C38" s="45">
        <f>F37</f>
        <v/>
      </c>
      <c r="D38" s="45">
        <f>MAX(0,C38*$B$9/12)</f>
        <v/>
      </c>
      <c r="E38" s="45">
        <f>MAX(0,MIN(C38,$B$10-D38))</f>
        <v/>
      </c>
      <c r="F38" s="45">
        <f>MAX(0,C38-E38)</f>
        <v/>
      </c>
    </row>
    <row r="39">
      <c r="A39" s="43" t="n">
        <v>17</v>
      </c>
      <c r="B39" s="44" t="n">
        <v>46508</v>
      </c>
      <c r="C39" s="45">
        <f>F38</f>
        <v/>
      </c>
      <c r="D39" s="45">
        <f>MAX(0,C39*$B$9/12)</f>
        <v/>
      </c>
      <c r="E39" s="45">
        <f>MAX(0,MIN(C39,$B$10-D39))</f>
        <v/>
      </c>
      <c r="F39" s="45">
        <f>MAX(0,C39-E39)</f>
        <v/>
      </c>
    </row>
    <row r="40">
      <c r="A40" s="43" t="n">
        <v>18</v>
      </c>
      <c r="B40" s="44" t="n">
        <v>46539</v>
      </c>
      <c r="C40" s="45">
        <f>F39</f>
        <v/>
      </c>
      <c r="D40" s="45">
        <f>MAX(0,C40*$B$9/12)</f>
        <v/>
      </c>
      <c r="E40" s="45">
        <f>MAX(0,MIN(C40,$B$10-D40))</f>
        <v/>
      </c>
      <c r="F40" s="45">
        <f>MAX(0,C40-E40)</f>
        <v/>
      </c>
    </row>
    <row r="41">
      <c r="A41" s="43" t="n">
        <v>19</v>
      </c>
      <c r="B41" s="44" t="n">
        <v>46569</v>
      </c>
      <c r="C41" s="45">
        <f>F40</f>
        <v/>
      </c>
      <c r="D41" s="45">
        <f>MAX(0,C41*$B$9/12)</f>
        <v/>
      </c>
      <c r="E41" s="45">
        <f>MAX(0,MIN(C41,$B$10-D41))</f>
        <v/>
      </c>
      <c r="F41" s="45">
        <f>MAX(0,C41-E41)</f>
        <v/>
      </c>
    </row>
    <row r="42">
      <c r="A42" s="43" t="n">
        <v>20</v>
      </c>
      <c r="B42" s="44" t="n">
        <v>46600</v>
      </c>
      <c r="C42" s="45">
        <f>F41</f>
        <v/>
      </c>
      <c r="D42" s="45">
        <f>MAX(0,C42*$B$9/12)</f>
        <v/>
      </c>
      <c r="E42" s="45">
        <f>MAX(0,MIN(C42,$B$10-D42))</f>
        <v/>
      </c>
      <c r="F42" s="45">
        <f>MAX(0,C42-E42)</f>
        <v/>
      </c>
    </row>
    <row r="43">
      <c r="A43" s="43" t="n">
        <v>21</v>
      </c>
      <c r="B43" s="44" t="n">
        <v>46631</v>
      </c>
      <c r="C43" s="45">
        <f>F42</f>
        <v/>
      </c>
      <c r="D43" s="45">
        <f>MAX(0,C43*$B$9/12)</f>
        <v/>
      </c>
      <c r="E43" s="45">
        <f>MAX(0,MIN(C43,$B$10-D43))</f>
        <v/>
      </c>
      <c r="F43" s="45">
        <f>MAX(0,C43-E43)</f>
        <v/>
      </c>
    </row>
    <row r="44">
      <c r="A44" s="43" t="n">
        <v>22</v>
      </c>
      <c r="B44" s="44" t="n">
        <v>46661</v>
      </c>
      <c r="C44" s="45">
        <f>F43</f>
        <v/>
      </c>
      <c r="D44" s="45">
        <f>MAX(0,C44*$B$9/12)</f>
        <v/>
      </c>
      <c r="E44" s="45">
        <f>MAX(0,MIN(C44,$B$10-D44))</f>
        <v/>
      </c>
      <c r="F44" s="45">
        <f>MAX(0,C44-E44)</f>
        <v/>
      </c>
    </row>
    <row r="45">
      <c r="A45" s="43" t="n">
        <v>23</v>
      </c>
      <c r="B45" s="44" t="n">
        <v>46692</v>
      </c>
      <c r="C45" s="45">
        <f>F44</f>
        <v/>
      </c>
      <c r="D45" s="45">
        <f>MAX(0,C45*$B$9/12)</f>
        <v/>
      </c>
      <c r="E45" s="45">
        <f>MAX(0,MIN(C45,$B$10-D45))</f>
        <v/>
      </c>
      <c r="F45" s="45">
        <f>MAX(0,C45-E45)</f>
        <v/>
      </c>
    </row>
    <row r="46">
      <c r="A46" s="43" t="n">
        <v>24</v>
      </c>
      <c r="B46" s="44" t="n">
        <v>46722</v>
      </c>
      <c r="C46" s="45">
        <f>F45</f>
        <v/>
      </c>
      <c r="D46" s="45">
        <f>MAX(0,C46*$B$9/12)</f>
        <v/>
      </c>
      <c r="E46" s="45">
        <f>MAX(0,MIN(C46,$B$10-D46))</f>
        <v/>
      </c>
      <c r="F46" s="45">
        <f>MAX(0,C46-E46)</f>
        <v/>
      </c>
    </row>
    <row r="47">
      <c r="A47" s="43" t="n">
        <v>25</v>
      </c>
      <c r="B47" s="44" t="n">
        <v>46753</v>
      </c>
      <c r="C47" s="45">
        <f>F46</f>
        <v/>
      </c>
      <c r="D47" s="45">
        <f>MAX(0,C47*$B$9/12)</f>
        <v/>
      </c>
      <c r="E47" s="45">
        <f>MAX(0,MIN(C47,$B$10-D47))</f>
        <v/>
      </c>
      <c r="F47" s="45">
        <f>MAX(0,C47-E47)</f>
        <v/>
      </c>
    </row>
    <row r="48">
      <c r="A48" s="43" t="n">
        <v>26</v>
      </c>
      <c r="B48" s="44" t="n">
        <v>46784</v>
      </c>
      <c r="C48" s="45">
        <f>F47</f>
        <v/>
      </c>
      <c r="D48" s="45">
        <f>MAX(0,C48*$B$9/12)</f>
        <v/>
      </c>
      <c r="E48" s="45">
        <f>MAX(0,MIN(C48,$B$10-D48))</f>
        <v/>
      </c>
      <c r="F48" s="45">
        <f>MAX(0,C48-E48)</f>
        <v/>
      </c>
    </row>
    <row r="49">
      <c r="A49" s="43" t="n">
        <v>27</v>
      </c>
      <c r="B49" s="44" t="n">
        <v>46813</v>
      </c>
      <c r="C49" s="45">
        <f>F48</f>
        <v/>
      </c>
      <c r="D49" s="45">
        <f>MAX(0,C49*$B$9/12)</f>
        <v/>
      </c>
      <c r="E49" s="45">
        <f>MAX(0,MIN(C49,$B$10-D49))</f>
        <v/>
      </c>
      <c r="F49" s="45">
        <f>MAX(0,C49-E49)</f>
        <v/>
      </c>
    </row>
    <row r="50">
      <c r="A50" s="43" t="n">
        <v>28</v>
      </c>
      <c r="B50" s="44" t="n">
        <v>46844</v>
      </c>
      <c r="C50" s="45">
        <f>F49</f>
        <v/>
      </c>
      <c r="D50" s="45">
        <f>MAX(0,C50*$B$9/12)</f>
        <v/>
      </c>
      <c r="E50" s="45">
        <f>MAX(0,MIN(C50,$B$10-D50))</f>
        <v/>
      </c>
      <c r="F50" s="45">
        <f>MAX(0,C50-E50)</f>
        <v/>
      </c>
    </row>
    <row r="51">
      <c r="A51" s="43" t="n">
        <v>29</v>
      </c>
      <c r="B51" s="44" t="n">
        <v>46874</v>
      </c>
      <c r="C51" s="45">
        <f>F50</f>
        <v/>
      </c>
      <c r="D51" s="45">
        <f>MAX(0,C51*$B$9/12)</f>
        <v/>
      </c>
      <c r="E51" s="45">
        <f>MAX(0,MIN(C51,$B$10-D51))</f>
        <v/>
      </c>
      <c r="F51" s="45">
        <f>MAX(0,C51-E51)</f>
        <v/>
      </c>
    </row>
    <row r="52">
      <c r="A52" s="43" t="n">
        <v>30</v>
      </c>
      <c r="B52" s="44" t="n">
        <v>46905</v>
      </c>
      <c r="C52" s="45">
        <f>F51</f>
        <v/>
      </c>
      <c r="D52" s="45">
        <f>MAX(0,C52*$B$9/12)</f>
        <v/>
      </c>
      <c r="E52" s="45">
        <f>MAX(0,MIN(C52,$B$10-D52))</f>
        <v/>
      </c>
      <c r="F52" s="45">
        <f>MAX(0,C52-E52)</f>
        <v/>
      </c>
    </row>
    <row r="53">
      <c r="A53" s="43" t="n">
        <v>31</v>
      </c>
      <c r="B53" s="44" t="n">
        <v>46935</v>
      </c>
      <c r="C53" s="45">
        <f>F52</f>
        <v/>
      </c>
      <c r="D53" s="45">
        <f>MAX(0,C53*$B$9/12)</f>
        <v/>
      </c>
      <c r="E53" s="45">
        <f>MAX(0,MIN(C53,$B$10-D53))</f>
        <v/>
      </c>
      <c r="F53" s="45">
        <f>MAX(0,C53-E53)</f>
        <v/>
      </c>
    </row>
    <row r="54">
      <c r="A54" s="43" t="n">
        <v>32</v>
      </c>
      <c r="B54" s="44" t="n">
        <v>46966</v>
      </c>
      <c r="C54" s="45">
        <f>F53</f>
        <v/>
      </c>
      <c r="D54" s="45">
        <f>MAX(0,C54*$B$9/12)</f>
        <v/>
      </c>
      <c r="E54" s="45">
        <f>MAX(0,MIN(C54,$B$10-D54))</f>
        <v/>
      </c>
      <c r="F54" s="45">
        <f>MAX(0,C54-E54)</f>
        <v/>
      </c>
    </row>
    <row r="55">
      <c r="A55" s="43" t="n">
        <v>33</v>
      </c>
      <c r="B55" s="44" t="n">
        <v>46997</v>
      </c>
      <c r="C55" s="45">
        <f>F54</f>
        <v/>
      </c>
      <c r="D55" s="45">
        <f>MAX(0,C55*$B$9/12)</f>
        <v/>
      </c>
      <c r="E55" s="45">
        <f>MAX(0,MIN(C55,$B$10-D55))</f>
        <v/>
      </c>
      <c r="F55" s="45">
        <f>MAX(0,C55-E55)</f>
        <v/>
      </c>
    </row>
    <row r="58">
      <c r="A58" s="2" t="inlineStr">
        <is>
          <t>ANNUAL SUMMARY</t>
        </is>
      </c>
    </row>
    <row r="59">
      <c r="A59" s="46" t="inlineStr">
        <is>
          <t>Year</t>
        </is>
      </c>
      <c r="B59" s="46" t="inlineStr"/>
      <c r="C59" s="46" t="inlineStr">
        <is>
          <t>Total Interest</t>
        </is>
      </c>
      <c r="D59" s="46" t="inlineStr">
        <is>
          <t>Total Principal</t>
        </is>
      </c>
      <c r="E59" s="46" t="inlineStr">
        <is>
          <t>Year-End Balance</t>
        </is>
      </c>
    </row>
    <row r="60">
      <c r="A60" s="43" t="n">
        <v>2026</v>
      </c>
      <c r="C60" s="45">
        <f>SUM(D23:D34)</f>
        <v/>
      </c>
      <c r="D60" s="45">
        <f>SUM(E23:E34)</f>
        <v/>
      </c>
      <c r="E60" s="45">
        <f>F34</f>
        <v/>
      </c>
    </row>
    <row r="61">
      <c r="A61" s="43" t="n">
        <v>2027</v>
      </c>
      <c r="C61" s="45">
        <f>SUM(D35:D46)</f>
        <v/>
      </c>
      <c r="D61" s="45">
        <f>SUM(E35:E46)</f>
        <v/>
      </c>
      <c r="E61" s="45">
        <f>F46</f>
        <v/>
      </c>
    </row>
    <row r="62">
      <c r="A62" s="43" t="n">
        <v>2028</v>
      </c>
      <c r="C62" s="45">
        <f>SUM(D47:D55)</f>
        <v/>
      </c>
      <c r="D62" s="45">
        <f>SUM(E47:E55)</f>
        <v/>
      </c>
      <c r="E62" s="45">
        <f>F55</f>
        <v/>
      </c>
    </row>
    <row r="65">
      <c r="A65" s="20" t="inlineStr">
        <is>
          <t>DEBT SCHEDULE REFERENCE</t>
        </is>
      </c>
    </row>
    <row r="66">
      <c r="A66" s="1" t="inlineStr">
        <is>
          <t>Current Balance:</t>
        </is>
      </c>
      <c r="B66" s="26">
        <f>B8</f>
        <v/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9.xml><?xml version="1.0" encoding="utf-8"?>
<worksheet xmlns="http://schemas.openxmlformats.org/spreadsheetml/2006/main">
  <sheetPr>
    <tabColor rgb="00808080"/>
    <outlinePr summaryBelow="1" summaryRight="1"/>
    <pageSetUpPr/>
  </sheetPr>
  <dimension ref="A1:F87"/>
  <sheetViews>
    <sheetView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16" customWidth="1" min="3" max="3"/>
    <col width="14" customWidth="1" min="4" max="4"/>
    <col width="14" customWidth="1" min="5" max="5"/>
    <col width="16" customWidth="1" min="6" max="6"/>
  </cols>
  <sheetData>
    <row r="1">
      <c r="A1" s="1" t="inlineStr">
        <is>
          <t>Lender:</t>
        </is>
      </c>
      <c r="B1" s="4" t="inlineStr">
        <is>
          <t>TriState Capital</t>
        </is>
      </c>
    </row>
    <row r="2">
      <c r="A2" s="1" t="inlineStr">
        <is>
          <t>Loan ID:</t>
        </is>
      </c>
      <c r="B2" s="4" t="inlineStr">
        <is>
          <t>05-2985-004-000-00</t>
        </is>
      </c>
    </row>
    <row r="3">
      <c r="A3" s="1" t="inlineStr">
        <is>
          <t>Description:</t>
        </is>
      </c>
      <c r="B3" s="4" t="inlineStr">
        <is>
          <t>25 Trailers</t>
        </is>
      </c>
    </row>
    <row r="4">
      <c r="A4" s="1" t="inlineStr">
        <is>
          <t>Collateral:</t>
        </is>
      </c>
      <c r="B4" s="4" t="inlineStr">
        <is>
          <t>Equipment - Trailers</t>
        </is>
      </c>
    </row>
    <row r="5">
      <c r="A5" s="1" t="inlineStr">
        <is>
          <t>Origination Date:</t>
        </is>
      </c>
      <c r="B5" s="4" t="inlineStr">
        <is>
          <t>04/10/2023</t>
        </is>
      </c>
    </row>
    <row r="6">
      <c r="A6" s="1" t="inlineStr">
        <is>
          <t>Maturity Date:</t>
        </is>
      </c>
      <c r="B6" s="4" t="inlineStr">
        <is>
          <t>04/15/2030</t>
        </is>
      </c>
    </row>
    <row r="7">
      <c r="A7" s="1" t="inlineStr">
        <is>
          <t>Original Balance:</t>
        </is>
      </c>
      <c r="B7" s="4" t="n">
        <v>1557225</v>
      </c>
    </row>
    <row r="8">
      <c r="A8" s="1" t="inlineStr">
        <is>
          <t>Current Balance (12/31/2025):</t>
        </is>
      </c>
      <c r="B8" s="4" t="n">
        <v>1039289</v>
      </c>
    </row>
    <row r="9">
      <c r="A9" s="1" t="inlineStr">
        <is>
          <t>Annual Interest Rate:</t>
        </is>
      </c>
      <c r="B9" s="4" t="n">
        <v>0.0565</v>
      </c>
    </row>
    <row r="10">
      <c r="A10" s="1" t="inlineStr">
        <is>
          <t>Monthly Payment:</t>
        </is>
      </c>
      <c r="B10" s="4" t="n">
        <v>22506</v>
      </c>
    </row>
    <row r="12">
      <c r="A12" s="20" t="inlineStr">
        <is>
          <t>AI ANALYSIS</t>
        </is>
      </c>
    </row>
    <row r="13">
      <c r="A13" s="9" t="inlineStr">
        <is>
          <t>Loan Type: AMORTIZING</t>
        </is>
      </c>
    </row>
    <row r="14">
      <c r="A14" s="9" t="inlineStr">
        <is>
          <t>Amortization: Standard fixed-payment amortization</t>
        </is>
      </c>
    </row>
    <row r="15">
      <c r="A15" s="9" t="inlineStr">
        <is>
          <t>Collateral Type: Equipment - Trailers</t>
        </is>
      </c>
    </row>
    <row r="16">
      <c r="A16" s="9" t="inlineStr">
        <is>
          <t>Remaining term calculated from current balance</t>
        </is>
      </c>
    </row>
    <row r="17">
      <c r="A17" s="9" t="inlineStr">
        <is>
          <t>Interest = MAX(0, Opening * Rate/12)</t>
        </is>
      </c>
    </row>
    <row r="18">
      <c r="A18" s="9" t="inlineStr">
        <is>
          <t>Principal = MAX(0, MIN(Opening, Payment - Interest))</t>
        </is>
      </c>
    </row>
    <row r="19">
      <c r="A19" s="9" t="inlineStr">
        <is>
          <t>Closing = MAX(0, Opening - Principal)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43" t="n">
        <v>1</v>
      </c>
      <c r="B23" s="44" t="n">
        <v>46023</v>
      </c>
      <c r="C23" s="45">
        <f>B8</f>
        <v/>
      </c>
      <c r="D23" s="45">
        <f>MAX(0,C23*$B$9/12)</f>
        <v/>
      </c>
      <c r="E23" s="45">
        <f>MAX(0,MIN(C23,$B$10-D23))</f>
        <v/>
      </c>
      <c r="F23" s="45">
        <f>MAX(0,C23-E23)</f>
        <v/>
      </c>
    </row>
    <row r="24">
      <c r="A24" s="43" t="n">
        <v>2</v>
      </c>
      <c r="B24" s="44" t="n">
        <v>46054</v>
      </c>
      <c r="C24" s="45">
        <f>F23</f>
        <v/>
      </c>
      <c r="D24" s="45">
        <f>MAX(0,C24*$B$9/12)</f>
        <v/>
      </c>
      <c r="E24" s="45">
        <f>MAX(0,MIN(C24,$B$10-D24))</f>
        <v/>
      </c>
      <c r="F24" s="45">
        <f>MAX(0,C24-E24)</f>
        <v/>
      </c>
    </row>
    <row r="25">
      <c r="A25" s="43" t="n">
        <v>3</v>
      </c>
      <c r="B25" s="44" t="n">
        <v>46082</v>
      </c>
      <c r="C25" s="45">
        <f>F24</f>
        <v/>
      </c>
      <c r="D25" s="45">
        <f>MAX(0,C25*$B$9/12)</f>
        <v/>
      </c>
      <c r="E25" s="45">
        <f>MAX(0,MIN(C25,$B$10-D25))</f>
        <v/>
      </c>
      <c r="F25" s="45">
        <f>MAX(0,C25-E25)</f>
        <v/>
      </c>
    </row>
    <row r="26">
      <c r="A26" s="43" t="n">
        <v>4</v>
      </c>
      <c r="B26" s="44" t="n">
        <v>46113</v>
      </c>
      <c r="C26" s="45">
        <f>F25</f>
        <v/>
      </c>
      <c r="D26" s="45">
        <f>MAX(0,C26*$B$9/12)</f>
        <v/>
      </c>
      <c r="E26" s="45">
        <f>MAX(0,MIN(C26,$B$10-D26))</f>
        <v/>
      </c>
      <c r="F26" s="45">
        <f>MAX(0,C26-E26)</f>
        <v/>
      </c>
    </row>
    <row r="27">
      <c r="A27" s="43" t="n">
        <v>5</v>
      </c>
      <c r="B27" s="44" t="n">
        <v>46143</v>
      </c>
      <c r="C27" s="45">
        <f>F26</f>
        <v/>
      </c>
      <c r="D27" s="45">
        <f>MAX(0,C27*$B$9/12)</f>
        <v/>
      </c>
      <c r="E27" s="45">
        <f>MAX(0,MIN(C27,$B$10-D27))</f>
        <v/>
      </c>
      <c r="F27" s="45">
        <f>MAX(0,C27-E27)</f>
        <v/>
      </c>
    </row>
    <row r="28">
      <c r="A28" s="43" t="n">
        <v>6</v>
      </c>
      <c r="B28" s="44" t="n">
        <v>46174</v>
      </c>
      <c r="C28" s="45">
        <f>F27</f>
        <v/>
      </c>
      <c r="D28" s="45">
        <f>MAX(0,C28*$B$9/12)</f>
        <v/>
      </c>
      <c r="E28" s="45">
        <f>MAX(0,MIN(C28,$B$10-D28))</f>
        <v/>
      </c>
      <c r="F28" s="45">
        <f>MAX(0,C28-E28)</f>
        <v/>
      </c>
    </row>
    <row r="29">
      <c r="A29" s="43" t="n">
        <v>7</v>
      </c>
      <c r="B29" s="44" t="n">
        <v>46204</v>
      </c>
      <c r="C29" s="45">
        <f>F28</f>
        <v/>
      </c>
      <c r="D29" s="45">
        <f>MAX(0,C29*$B$9/12)</f>
        <v/>
      </c>
      <c r="E29" s="45">
        <f>MAX(0,MIN(C29,$B$10-D29))</f>
        <v/>
      </c>
      <c r="F29" s="45">
        <f>MAX(0,C29-E29)</f>
        <v/>
      </c>
    </row>
    <row r="30">
      <c r="A30" s="43" t="n">
        <v>8</v>
      </c>
      <c r="B30" s="44" t="n">
        <v>46235</v>
      </c>
      <c r="C30" s="45">
        <f>F29</f>
        <v/>
      </c>
      <c r="D30" s="45">
        <f>MAX(0,C30*$B$9/12)</f>
        <v/>
      </c>
      <c r="E30" s="45">
        <f>MAX(0,MIN(C30,$B$10-D30))</f>
        <v/>
      </c>
      <c r="F30" s="45">
        <f>MAX(0,C30-E30)</f>
        <v/>
      </c>
    </row>
    <row r="31">
      <c r="A31" s="43" t="n">
        <v>9</v>
      </c>
      <c r="B31" s="44" t="n">
        <v>46266</v>
      </c>
      <c r="C31" s="45">
        <f>F30</f>
        <v/>
      </c>
      <c r="D31" s="45">
        <f>MAX(0,C31*$B$9/12)</f>
        <v/>
      </c>
      <c r="E31" s="45">
        <f>MAX(0,MIN(C31,$B$10-D31))</f>
        <v/>
      </c>
      <c r="F31" s="45">
        <f>MAX(0,C31-E31)</f>
        <v/>
      </c>
    </row>
    <row r="32">
      <c r="A32" s="43" t="n">
        <v>10</v>
      </c>
      <c r="B32" s="44" t="n">
        <v>46296</v>
      </c>
      <c r="C32" s="45">
        <f>F31</f>
        <v/>
      </c>
      <c r="D32" s="45">
        <f>MAX(0,C32*$B$9/12)</f>
        <v/>
      </c>
      <c r="E32" s="45">
        <f>MAX(0,MIN(C32,$B$10-D32))</f>
        <v/>
      </c>
      <c r="F32" s="45">
        <f>MAX(0,C32-E32)</f>
        <v/>
      </c>
    </row>
    <row r="33">
      <c r="A33" s="43" t="n">
        <v>11</v>
      </c>
      <c r="B33" s="44" t="n">
        <v>46327</v>
      </c>
      <c r="C33" s="45">
        <f>F32</f>
        <v/>
      </c>
      <c r="D33" s="45">
        <f>MAX(0,C33*$B$9/12)</f>
        <v/>
      </c>
      <c r="E33" s="45">
        <f>MAX(0,MIN(C33,$B$10-D33))</f>
        <v/>
      </c>
      <c r="F33" s="45">
        <f>MAX(0,C33-E33)</f>
        <v/>
      </c>
    </row>
    <row r="34">
      <c r="A34" s="43" t="n">
        <v>12</v>
      </c>
      <c r="B34" s="44" t="n">
        <v>46357</v>
      </c>
      <c r="C34" s="45">
        <f>F33</f>
        <v/>
      </c>
      <c r="D34" s="45">
        <f>MAX(0,C34*$B$9/12)</f>
        <v/>
      </c>
      <c r="E34" s="45">
        <f>MAX(0,MIN(C34,$B$10-D34))</f>
        <v/>
      </c>
      <c r="F34" s="45">
        <f>MAX(0,C34-E34)</f>
        <v/>
      </c>
    </row>
    <row r="35">
      <c r="A35" s="43" t="n">
        <v>13</v>
      </c>
      <c r="B35" s="44" t="n">
        <v>46388</v>
      </c>
      <c r="C35" s="45">
        <f>F34</f>
        <v/>
      </c>
      <c r="D35" s="45">
        <f>MAX(0,C35*$B$9/12)</f>
        <v/>
      </c>
      <c r="E35" s="45">
        <f>MAX(0,MIN(C35,$B$10-D35))</f>
        <v/>
      </c>
      <c r="F35" s="45">
        <f>MAX(0,C35-E35)</f>
        <v/>
      </c>
    </row>
    <row r="36">
      <c r="A36" s="43" t="n">
        <v>14</v>
      </c>
      <c r="B36" s="44" t="n">
        <v>46419</v>
      </c>
      <c r="C36" s="45">
        <f>F35</f>
        <v/>
      </c>
      <c r="D36" s="45">
        <f>MAX(0,C36*$B$9/12)</f>
        <v/>
      </c>
      <c r="E36" s="45">
        <f>MAX(0,MIN(C36,$B$10-D36))</f>
        <v/>
      </c>
      <c r="F36" s="45">
        <f>MAX(0,C36-E36)</f>
        <v/>
      </c>
    </row>
    <row r="37">
      <c r="A37" s="43" t="n">
        <v>15</v>
      </c>
      <c r="B37" s="44" t="n">
        <v>46447</v>
      </c>
      <c r="C37" s="45">
        <f>F36</f>
        <v/>
      </c>
      <c r="D37" s="45">
        <f>MAX(0,C37*$B$9/12)</f>
        <v/>
      </c>
      <c r="E37" s="45">
        <f>MAX(0,MIN(C37,$B$10-D37))</f>
        <v/>
      </c>
      <c r="F37" s="45">
        <f>MAX(0,C37-E37)</f>
        <v/>
      </c>
    </row>
    <row r="38">
      <c r="A38" s="43" t="n">
        <v>16</v>
      </c>
      <c r="B38" s="44" t="n">
        <v>46478</v>
      </c>
      <c r="C38" s="45">
        <f>F37</f>
        <v/>
      </c>
      <c r="D38" s="45">
        <f>MAX(0,C38*$B$9/12)</f>
        <v/>
      </c>
      <c r="E38" s="45">
        <f>MAX(0,MIN(C38,$B$10-D38))</f>
        <v/>
      </c>
      <c r="F38" s="45">
        <f>MAX(0,C38-E38)</f>
        <v/>
      </c>
    </row>
    <row r="39">
      <c r="A39" s="43" t="n">
        <v>17</v>
      </c>
      <c r="B39" s="44" t="n">
        <v>46508</v>
      </c>
      <c r="C39" s="45">
        <f>F38</f>
        <v/>
      </c>
      <c r="D39" s="45">
        <f>MAX(0,C39*$B$9/12)</f>
        <v/>
      </c>
      <c r="E39" s="45">
        <f>MAX(0,MIN(C39,$B$10-D39))</f>
        <v/>
      </c>
      <c r="F39" s="45">
        <f>MAX(0,C39-E39)</f>
        <v/>
      </c>
    </row>
    <row r="40">
      <c r="A40" s="43" t="n">
        <v>18</v>
      </c>
      <c r="B40" s="44" t="n">
        <v>46539</v>
      </c>
      <c r="C40" s="45">
        <f>F39</f>
        <v/>
      </c>
      <c r="D40" s="45">
        <f>MAX(0,C40*$B$9/12)</f>
        <v/>
      </c>
      <c r="E40" s="45">
        <f>MAX(0,MIN(C40,$B$10-D40))</f>
        <v/>
      </c>
      <c r="F40" s="45">
        <f>MAX(0,C40-E40)</f>
        <v/>
      </c>
    </row>
    <row r="41">
      <c r="A41" s="43" t="n">
        <v>19</v>
      </c>
      <c r="B41" s="44" t="n">
        <v>46569</v>
      </c>
      <c r="C41" s="45">
        <f>F40</f>
        <v/>
      </c>
      <c r="D41" s="45">
        <f>MAX(0,C41*$B$9/12)</f>
        <v/>
      </c>
      <c r="E41" s="45">
        <f>MAX(0,MIN(C41,$B$10-D41))</f>
        <v/>
      </c>
      <c r="F41" s="45">
        <f>MAX(0,C41-E41)</f>
        <v/>
      </c>
    </row>
    <row r="42">
      <c r="A42" s="43" t="n">
        <v>20</v>
      </c>
      <c r="B42" s="44" t="n">
        <v>46600</v>
      </c>
      <c r="C42" s="45">
        <f>F41</f>
        <v/>
      </c>
      <c r="D42" s="45">
        <f>MAX(0,C42*$B$9/12)</f>
        <v/>
      </c>
      <c r="E42" s="45">
        <f>MAX(0,MIN(C42,$B$10-D42))</f>
        <v/>
      </c>
      <c r="F42" s="45">
        <f>MAX(0,C42-E42)</f>
        <v/>
      </c>
    </row>
    <row r="43">
      <c r="A43" s="43" t="n">
        <v>21</v>
      </c>
      <c r="B43" s="44" t="n">
        <v>46631</v>
      </c>
      <c r="C43" s="45">
        <f>F42</f>
        <v/>
      </c>
      <c r="D43" s="45">
        <f>MAX(0,C43*$B$9/12)</f>
        <v/>
      </c>
      <c r="E43" s="45">
        <f>MAX(0,MIN(C43,$B$10-D43))</f>
        <v/>
      </c>
      <c r="F43" s="45">
        <f>MAX(0,C43-E43)</f>
        <v/>
      </c>
    </row>
    <row r="44">
      <c r="A44" s="43" t="n">
        <v>22</v>
      </c>
      <c r="B44" s="44" t="n">
        <v>46661</v>
      </c>
      <c r="C44" s="45">
        <f>F43</f>
        <v/>
      </c>
      <c r="D44" s="45">
        <f>MAX(0,C44*$B$9/12)</f>
        <v/>
      </c>
      <c r="E44" s="45">
        <f>MAX(0,MIN(C44,$B$10-D44))</f>
        <v/>
      </c>
      <c r="F44" s="45">
        <f>MAX(0,C44-E44)</f>
        <v/>
      </c>
    </row>
    <row r="45">
      <c r="A45" s="43" t="n">
        <v>23</v>
      </c>
      <c r="B45" s="44" t="n">
        <v>46692</v>
      </c>
      <c r="C45" s="45">
        <f>F44</f>
        <v/>
      </c>
      <c r="D45" s="45">
        <f>MAX(0,C45*$B$9/12)</f>
        <v/>
      </c>
      <c r="E45" s="45">
        <f>MAX(0,MIN(C45,$B$10-D45))</f>
        <v/>
      </c>
      <c r="F45" s="45">
        <f>MAX(0,C45-E45)</f>
        <v/>
      </c>
    </row>
    <row r="46">
      <c r="A46" s="43" t="n">
        <v>24</v>
      </c>
      <c r="B46" s="44" t="n">
        <v>46722</v>
      </c>
      <c r="C46" s="45">
        <f>F45</f>
        <v/>
      </c>
      <c r="D46" s="45">
        <f>MAX(0,C46*$B$9/12)</f>
        <v/>
      </c>
      <c r="E46" s="45">
        <f>MAX(0,MIN(C46,$B$10-D46))</f>
        <v/>
      </c>
      <c r="F46" s="45">
        <f>MAX(0,C46-E46)</f>
        <v/>
      </c>
    </row>
    <row r="47">
      <c r="A47" s="43" t="n">
        <v>25</v>
      </c>
      <c r="B47" s="44" t="n">
        <v>46753</v>
      </c>
      <c r="C47" s="45">
        <f>F46</f>
        <v/>
      </c>
      <c r="D47" s="45">
        <f>MAX(0,C47*$B$9/12)</f>
        <v/>
      </c>
      <c r="E47" s="45">
        <f>MAX(0,MIN(C47,$B$10-D47))</f>
        <v/>
      </c>
      <c r="F47" s="45">
        <f>MAX(0,C47-E47)</f>
        <v/>
      </c>
    </row>
    <row r="48">
      <c r="A48" s="43" t="n">
        <v>26</v>
      </c>
      <c r="B48" s="44" t="n">
        <v>46784</v>
      </c>
      <c r="C48" s="45">
        <f>F47</f>
        <v/>
      </c>
      <c r="D48" s="45">
        <f>MAX(0,C48*$B$9/12)</f>
        <v/>
      </c>
      <c r="E48" s="45">
        <f>MAX(0,MIN(C48,$B$10-D48))</f>
        <v/>
      </c>
      <c r="F48" s="45">
        <f>MAX(0,C48-E48)</f>
        <v/>
      </c>
    </row>
    <row r="49">
      <c r="A49" s="43" t="n">
        <v>27</v>
      </c>
      <c r="B49" s="44" t="n">
        <v>46813</v>
      </c>
      <c r="C49" s="45">
        <f>F48</f>
        <v/>
      </c>
      <c r="D49" s="45">
        <f>MAX(0,C49*$B$9/12)</f>
        <v/>
      </c>
      <c r="E49" s="45">
        <f>MAX(0,MIN(C49,$B$10-D49))</f>
        <v/>
      </c>
      <c r="F49" s="45">
        <f>MAX(0,C49-E49)</f>
        <v/>
      </c>
    </row>
    <row r="50">
      <c r="A50" s="43" t="n">
        <v>28</v>
      </c>
      <c r="B50" s="44" t="n">
        <v>46844</v>
      </c>
      <c r="C50" s="45">
        <f>F49</f>
        <v/>
      </c>
      <c r="D50" s="45">
        <f>MAX(0,C50*$B$9/12)</f>
        <v/>
      </c>
      <c r="E50" s="45">
        <f>MAX(0,MIN(C50,$B$10-D50))</f>
        <v/>
      </c>
      <c r="F50" s="45">
        <f>MAX(0,C50-E50)</f>
        <v/>
      </c>
    </row>
    <row r="51">
      <c r="A51" s="43" t="n">
        <v>29</v>
      </c>
      <c r="B51" s="44" t="n">
        <v>46874</v>
      </c>
      <c r="C51" s="45">
        <f>F50</f>
        <v/>
      </c>
      <c r="D51" s="45">
        <f>MAX(0,C51*$B$9/12)</f>
        <v/>
      </c>
      <c r="E51" s="45">
        <f>MAX(0,MIN(C51,$B$10-D51))</f>
        <v/>
      </c>
      <c r="F51" s="45">
        <f>MAX(0,C51-E51)</f>
        <v/>
      </c>
    </row>
    <row r="52">
      <c r="A52" s="43" t="n">
        <v>30</v>
      </c>
      <c r="B52" s="44" t="n">
        <v>46905</v>
      </c>
      <c r="C52" s="45">
        <f>F51</f>
        <v/>
      </c>
      <c r="D52" s="45">
        <f>MAX(0,C52*$B$9/12)</f>
        <v/>
      </c>
      <c r="E52" s="45">
        <f>MAX(0,MIN(C52,$B$10-D52))</f>
        <v/>
      </c>
      <c r="F52" s="45">
        <f>MAX(0,C52-E52)</f>
        <v/>
      </c>
    </row>
    <row r="53">
      <c r="A53" s="43" t="n">
        <v>31</v>
      </c>
      <c r="B53" s="44" t="n">
        <v>46935</v>
      </c>
      <c r="C53" s="45">
        <f>F52</f>
        <v/>
      </c>
      <c r="D53" s="45">
        <f>MAX(0,C53*$B$9/12)</f>
        <v/>
      </c>
      <c r="E53" s="45">
        <f>MAX(0,MIN(C53,$B$10-D53))</f>
        <v/>
      </c>
      <c r="F53" s="45">
        <f>MAX(0,C53-E53)</f>
        <v/>
      </c>
    </row>
    <row r="54">
      <c r="A54" s="43" t="n">
        <v>32</v>
      </c>
      <c r="B54" s="44" t="n">
        <v>46966</v>
      </c>
      <c r="C54" s="45">
        <f>F53</f>
        <v/>
      </c>
      <c r="D54" s="45">
        <f>MAX(0,C54*$B$9/12)</f>
        <v/>
      </c>
      <c r="E54" s="45">
        <f>MAX(0,MIN(C54,$B$10-D54))</f>
        <v/>
      </c>
      <c r="F54" s="45">
        <f>MAX(0,C54-E54)</f>
        <v/>
      </c>
    </row>
    <row r="55">
      <c r="A55" s="43" t="n">
        <v>33</v>
      </c>
      <c r="B55" s="44" t="n">
        <v>46997</v>
      </c>
      <c r="C55" s="45">
        <f>F54</f>
        <v/>
      </c>
      <c r="D55" s="45">
        <f>MAX(0,C55*$B$9/12)</f>
        <v/>
      </c>
      <c r="E55" s="45">
        <f>MAX(0,MIN(C55,$B$10-D55))</f>
        <v/>
      </c>
      <c r="F55" s="45">
        <f>MAX(0,C55-E55)</f>
        <v/>
      </c>
    </row>
    <row r="56">
      <c r="A56" s="43" t="n">
        <v>34</v>
      </c>
      <c r="B56" s="44" t="n">
        <v>47027</v>
      </c>
      <c r="C56" s="45">
        <f>F55</f>
        <v/>
      </c>
      <c r="D56" s="45">
        <f>MAX(0,C56*$B$9/12)</f>
        <v/>
      </c>
      <c r="E56" s="45">
        <f>MAX(0,MIN(C56,$B$10-D56))</f>
        <v/>
      </c>
      <c r="F56" s="45">
        <f>MAX(0,C56-E56)</f>
        <v/>
      </c>
    </row>
    <row r="57">
      <c r="A57" s="43" t="n">
        <v>35</v>
      </c>
      <c r="B57" s="44" t="n">
        <v>47058</v>
      </c>
      <c r="C57" s="45">
        <f>F56</f>
        <v/>
      </c>
      <c r="D57" s="45">
        <f>MAX(0,C57*$B$9/12)</f>
        <v/>
      </c>
      <c r="E57" s="45">
        <f>MAX(0,MIN(C57,$B$10-D57))</f>
        <v/>
      </c>
      <c r="F57" s="45">
        <f>MAX(0,C57-E57)</f>
        <v/>
      </c>
    </row>
    <row r="58">
      <c r="A58" s="43" t="n">
        <v>36</v>
      </c>
      <c r="B58" s="44" t="n">
        <v>47088</v>
      </c>
      <c r="C58" s="45">
        <f>F57</f>
        <v/>
      </c>
      <c r="D58" s="45">
        <f>MAX(0,C58*$B$9/12)</f>
        <v/>
      </c>
      <c r="E58" s="45">
        <f>MAX(0,MIN(C58,$B$10-D58))</f>
        <v/>
      </c>
      <c r="F58" s="45">
        <f>MAX(0,C58-E58)</f>
        <v/>
      </c>
    </row>
    <row r="59">
      <c r="A59" s="43" t="n">
        <v>37</v>
      </c>
      <c r="B59" s="44" t="n">
        <v>47119</v>
      </c>
      <c r="C59" s="45">
        <f>F58</f>
        <v/>
      </c>
      <c r="D59" s="45">
        <f>MAX(0,C59*$B$9/12)</f>
        <v/>
      </c>
      <c r="E59" s="45">
        <f>MAX(0,MIN(C59,$B$10-D59))</f>
        <v/>
      </c>
      <c r="F59" s="45">
        <f>MAX(0,C59-E59)</f>
        <v/>
      </c>
    </row>
    <row r="60">
      <c r="A60" s="43" t="n">
        <v>38</v>
      </c>
      <c r="B60" s="44" t="n">
        <v>47150</v>
      </c>
      <c r="C60" s="45">
        <f>F59</f>
        <v/>
      </c>
      <c r="D60" s="45">
        <f>MAX(0,C60*$B$9/12)</f>
        <v/>
      </c>
      <c r="E60" s="45">
        <f>MAX(0,MIN(C60,$B$10-D60))</f>
        <v/>
      </c>
      <c r="F60" s="45">
        <f>MAX(0,C60-E60)</f>
        <v/>
      </c>
    </row>
    <row r="61">
      <c r="A61" s="43" t="n">
        <v>39</v>
      </c>
      <c r="B61" s="44" t="n">
        <v>47178</v>
      </c>
      <c r="C61" s="45">
        <f>F60</f>
        <v/>
      </c>
      <c r="D61" s="45">
        <f>MAX(0,C61*$B$9/12)</f>
        <v/>
      </c>
      <c r="E61" s="45">
        <f>MAX(0,MIN(C61,$B$10-D61))</f>
        <v/>
      </c>
      <c r="F61" s="45">
        <f>MAX(0,C61-E61)</f>
        <v/>
      </c>
    </row>
    <row r="62">
      <c r="A62" s="43" t="n">
        <v>40</v>
      </c>
      <c r="B62" s="44" t="n">
        <v>47209</v>
      </c>
      <c r="C62" s="45">
        <f>F61</f>
        <v/>
      </c>
      <c r="D62" s="45">
        <f>MAX(0,C62*$B$9/12)</f>
        <v/>
      </c>
      <c r="E62" s="45">
        <f>MAX(0,MIN(C62,$B$10-D62))</f>
        <v/>
      </c>
      <c r="F62" s="45">
        <f>MAX(0,C62-E62)</f>
        <v/>
      </c>
    </row>
    <row r="63">
      <c r="A63" s="43" t="n">
        <v>41</v>
      </c>
      <c r="B63" s="44" t="n">
        <v>47239</v>
      </c>
      <c r="C63" s="45">
        <f>F62</f>
        <v/>
      </c>
      <c r="D63" s="45">
        <f>MAX(0,C63*$B$9/12)</f>
        <v/>
      </c>
      <c r="E63" s="45">
        <f>MAX(0,MIN(C63,$B$10-D63))</f>
        <v/>
      </c>
      <c r="F63" s="45">
        <f>MAX(0,C63-E63)</f>
        <v/>
      </c>
    </row>
    <row r="64">
      <c r="A64" s="43" t="n">
        <v>42</v>
      </c>
      <c r="B64" s="44" t="n">
        <v>47270</v>
      </c>
      <c r="C64" s="45">
        <f>F63</f>
        <v/>
      </c>
      <c r="D64" s="45">
        <f>MAX(0,C64*$B$9/12)</f>
        <v/>
      </c>
      <c r="E64" s="45">
        <f>MAX(0,MIN(C64,$B$10-D64))</f>
        <v/>
      </c>
      <c r="F64" s="45">
        <f>MAX(0,C64-E64)</f>
        <v/>
      </c>
    </row>
    <row r="65">
      <c r="A65" s="43" t="n">
        <v>43</v>
      </c>
      <c r="B65" s="44" t="n">
        <v>47300</v>
      </c>
      <c r="C65" s="45">
        <f>F64</f>
        <v/>
      </c>
      <c r="D65" s="45">
        <f>MAX(0,C65*$B$9/12)</f>
        <v/>
      </c>
      <c r="E65" s="45">
        <f>MAX(0,MIN(C65,$B$10-D65))</f>
        <v/>
      </c>
      <c r="F65" s="45">
        <f>MAX(0,C65-E65)</f>
        <v/>
      </c>
    </row>
    <row r="66">
      <c r="A66" s="43" t="n">
        <v>44</v>
      </c>
      <c r="B66" s="44" t="n">
        <v>47331</v>
      </c>
      <c r="C66" s="45">
        <f>F65</f>
        <v/>
      </c>
      <c r="D66" s="45">
        <f>MAX(0,C66*$B$9/12)</f>
        <v/>
      </c>
      <c r="E66" s="45">
        <f>MAX(0,MIN(C66,$B$10-D66))</f>
        <v/>
      </c>
      <c r="F66" s="45">
        <f>MAX(0,C66-E66)</f>
        <v/>
      </c>
    </row>
    <row r="67">
      <c r="A67" s="43" t="n">
        <v>45</v>
      </c>
      <c r="B67" s="44" t="n">
        <v>47362</v>
      </c>
      <c r="C67" s="45">
        <f>F66</f>
        <v/>
      </c>
      <c r="D67" s="45">
        <f>MAX(0,C67*$B$9/12)</f>
        <v/>
      </c>
      <c r="E67" s="45">
        <f>MAX(0,MIN(C67,$B$10-D67))</f>
        <v/>
      </c>
      <c r="F67" s="45">
        <f>MAX(0,C67-E67)</f>
        <v/>
      </c>
    </row>
    <row r="68">
      <c r="A68" s="43" t="n">
        <v>46</v>
      </c>
      <c r="B68" s="44" t="n">
        <v>47392</v>
      </c>
      <c r="C68" s="45">
        <f>F67</f>
        <v/>
      </c>
      <c r="D68" s="45">
        <f>MAX(0,C68*$B$9/12)</f>
        <v/>
      </c>
      <c r="E68" s="45">
        <f>MAX(0,MIN(C68,$B$10-D68))</f>
        <v/>
      </c>
      <c r="F68" s="45">
        <f>MAX(0,C68-E68)</f>
        <v/>
      </c>
    </row>
    <row r="69">
      <c r="A69" s="43" t="n">
        <v>47</v>
      </c>
      <c r="B69" s="44" t="n">
        <v>47423</v>
      </c>
      <c r="C69" s="45">
        <f>F68</f>
        <v/>
      </c>
      <c r="D69" s="45">
        <f>MAX(0,C69*$B$9/12)</f>
        <v/>
      </c>
      <c r="E69" s="45">
        <f>MAX(0,MIN(C69,$B$10-D69))</f>
        <v/>
      </c>
      <c r="F69" s="45">
        <f>MAX(0,C69-E69)</f>
        <v/>
      </c>
    </row>
    <row r="70">
      <c r="A70" s="43" t="n">
        <v>48</v>
      </c>
      <c r="B70" s="44" t="n">
        <v>47453</v>
      </c>
      <c r="C70" s="45">
        <f>F69</f>
        <v/>
      </c>
      <c r="D70" s="45">
        <f>MAX(0,C70*$B$9/12)</f>
        <v/>
      </c>
      <c r="E70" s="45">
        <f>MAX(0,MIN(C70,$B$10-D70))</f>
        <v/>
      </c>
      <c r="F70" s="45">
        <f>MAX(0,C70-E70)</f>
        <v/>
      </c>
    </row>
    <row r="71">
      <c r="A71" s="43" t="n">
        <v>49</v>
      </c>
      <c r="B71" s="44" t="n">
        <v>47484</v>
      </c>
      <c r="C71" s="45">
        <f>F70</f>
        <v/>
      </c>
      <c r="D71" s="45">
        <f>MAX(0,C71*$B$9/12)</f>
        <v/>
      </c>
      <c r="E71" s="45">
        <f>MAX(0,MIN(C71,$B$10-D71))</f>
        <v/>
      </c>
      <c r="F71" s="45">
        <f>MAX(0,C71-E71)</f>
        <v/>
      </c>
    </row>
    <row r="72">
      <c r="A72" s="43" t="n">
        <v>50</v>
      </c>
      <c r="B72" s="44" t="n">
        <v>47515</v>
      </c>
      <c r="C72" s="45">
        <f>F71</f>
        <v/>
      </c>
      <c r="D72" s="45">
        <f>MAX(0,C72*$B$9/12)</f>
        <v/>
      </c>
      <c r="E72" s="45">
        <f>MAX(0,MIN(C72,$B$10-D72))</f>
        <v/>
      </c>
      <c r="F72" s="45">
        <f>MAX(0,C72-E72)</f>
        <v/>
      </c>
    </row>
    <row r="73">
      <c r="A73" s="43" t="n">
        <v>51</v>
      </c>
      <c r="B73" s="44" t="n">
        <v>47543</v>
      </c>
      <c r="C73" s="45">
        <f>F72</f>
        <v/>
      </c>
      <c r="D73" s="45">
        <f>MAX(0,C73*$B$9/12)</f>
        <v/>
      </c>
      <c r="E73" s="45">
        <f>MAX(0,MIN(C73,$B$10-D73))</f>
        <v/>
      </c>
      <c r="F73" s="45">
        <f>MAX(0,C73-E73)</f>
        <v/>
      </c>
    </row>
    <row r="74">
      <c r="A74" s="43" t="n">
        <v>52</v>
      </c>
      <c r="B74" s="44" t="n">
        <v>47574</v>
      </c>
      <c r="C74" s="45">
        <f>F73</f>
        <v/>
      </c>
      <c r="D74" s="45">
        <f>MAX(0,C74*$B$9/12)</f>
        <v/>
      </c>
      <c r="E74" s="45">
        <f>MAX(0,MIN(C74,$B$10-D74))</f>
        <v/>
      </c>
      <c r="F74" s="45">
        <f>MAX(0,C74-E74)</f>
        <v/>
      </c>
    </row>
    <row r="77">
      <c r="A77" s="2" t="inlineStr">
        <is>
          <t>ANNUAL SUMMARY</t>
        </is>
      </c>
    </row>
    <row r="78">
      <c r="A78" s="46" t="inlineStr">
        <is>
          <t>Year</t>
        </is>
      </c>
      <c r="B78" s="46" t="inlineStr"/>
      <c r="C78" s="46" t="inlineStr">
        <is>
          <t>Total Interest</t>
        </is>
      </c>
      <c r="D78" s="46" t="inlineStr">
        <is>
          <t>Total Principal</t>
        </is>
      </c>
      <c r="E78" s="46" t="inlineStr">
        <is>
          <t>Year-End Balance</t>
        </is>
      </c>
    </row>
    <row r="79">
      <c r="A79" s="43" t="n">
        <v>2026</v>
      </c>
      <c r="C79" s="45">
        <f>SUM(D23:D34)</f>
        <v/>
      </c>
      <c r="D79" s="45">
        <f>SUM(E23:E34)</f>
        <v/>
      </c>
      <c r="E79" s="45">
        <f>F34</f>
        <v/>
      </c>
    </row>
    <row r="80">
      <c r="A80" s="43" t="n">
        <v>2027</v>
      </c>
      <c r="C80" s="45">
        <f>SUM(D35:D46)</f>
        <v/>
      </c>
      <c r="D80" s="45">
        <f>SUM(E35:E46)</f>
        <v/>
      </c>
      <c r="E80" s="45">
        <f>F46</f>
        <v/>
      </c>
    </row>
    <row r="81">
      <c r="A81" s="43" t="n">
        <v>2028</v>
      </c>
      <c r="C81" s="45">
        <f>SUM(D47:D58)</f>
        <v/>
      </c>
      <c r="D81" s="45">
        <f>SUM(E47:E58)</f>
        <v/>
      </c>
      <c r="E81" s="45">
        <f>F58</f>
        <v/>
      </c>
    </row>
    <row r="82">
      <c r="A82" s="43" t="n">
        <v>2029</v>
      </c>
      <c r="C82" s="45">
        <f>SUM(D59:D70)</f>
        <v/>
      </c>
      <c r="D82" s="45">
        <f>SUM(E59:E70)</f>
        <v/>
      </c>
      <c r="E82" s="45">
        <f>F70</f>
        <v/>
      </c>
    </row>
    <row r="83">
      <c r="A83" s="43" t="n">
        <v>2030</v>
      </c>
      <c r="C83" s="45">
        <f>SUM(D71:D74)</f>
        <v/>
      </c>
      <c r="D83" s="45">
        <f>SUM(E71:E74)</f>
        <v/>
      </c>
      <c r="E83" s="45">
        <f>F74</f>
        <v/>
      </c>
    </row>
    <row r="86">
      <c r="A86" s="20" t="inlineStr">
        <is>
          <t>DEBT SCHEDULE REFERENCE</t>
        </is>
      </c>
    </row>
    <row r="87">
      <c r="A87" s="1" t="inlineStr">
        <is>
          <t>Current Balance:</t>
        </is>
      </c>
      <c r="B87" s="26">
        <f>B8</f>
        <v/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tabColor rgb="00808080"/>
    <outlinePr summaryBelow="1" summaryRight="1"/>
    <pageSetUpPr/>
  </sheetPr>
  <dimension ref="A1:F46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2" t="inlineStr">
        <is>
          <t>LOAN DETAILS</t>
        </is>
      </c>
      <c r="B1" s="3" t="n"/>
      <c r="C1" s="3" t="n"/>
      <c r="D1" s="3" t="n"/>
      <c r="E1" s="3" t="n"/>
      <c r="F1" s="3" t="n"/>
    </row>
    <row r="2">
      <c r="A2" t="inlineStr">
        <is>
          <t>Lender</t>
        </is>
      </c>
      <c r="B2" s="4" t="inlineStr">
        <is>
          <t>Webster Capital Finance</t>
        </is>
      </c>
    </row>
    <row r="3">
      <c r="A3" t="inlineStr">
        <is>
          <t>Loan ID</t>
        </is>
      </c>
      <c r="B3" s="4" t="inlineStr">
        <is>
          <t>05-2939-001-000-00</t>
        </is>
      </c>
    </row>
    <row r="4">
      <c r="A4" t="inlineStr">
        <is>
          <t>Description</t>
        </is>
      </c>
      <c r="B4" s="4" t="inlineStr">
        <is>
          <t>3 Freightliner Daycabs</t>
        </is>
      </c>
    </row>
    <row r="5">
      <c r="A5" t="inlineStr">
        <is>
          <t>Collateral</t>
        </is>
      </c>
      <c r="B5" s="4" t="inlineStr">
        <is>
          <t>Equipment - Semi Trucks</t>
        </is>
      </c>
    </row>
    <row r="6">
      <c r="A6" t="inlineStr">
        <is>
          <t>Current Balance</t>
        </is>
      </c>
      <c r="B6" s="5" t="n">
        <v>71267</v>
      </c>
    </row>
    <row r="7">
      <c r="A7" t="inlineStr">
        <is>
          <t>Annual Rate</t>
        </is>
      </c>
      <c r="B7" s="6" t="n">
        <v>0.0272</v>
      </c>
    </row>
    <row r="8">
      <c r="A8" t="inlineStr">
        <is>
          <t>Monthly Payment</t>
        </is>
      </c>
      <c r="B8" s="5" t="n">
        <v>4157</v>
      </c>
    </row>
    <row r="9">
      <c r="A9" t="inlineStr">
        <is>
          <t>Maturity Date</t>
        </is>
      </c>
      <c r="B9" s="17" t="n">
        <v>46559</v>
      </c>
    </row>
    <row r="10">
      <c r="A10" t="inlineStr">
        <is>
          <t>Loan Type</t>
        </is>
      </c>
      <c r="B10" s="4" t="inlineStr">
        <is>
          <t>AMORTIZING</t>
        </is>
      </c>
    </row>
    <row r="12">
      <c r="A12" s="8" t="inlineStr">
        <is>
          <t>AI ANALYSIS</t>
        </is>
      </c>
      <c r="B12" s="9" t="n"/>
      <c r="C12" s="9" t="n"/>
      <c r="D12" s="9" t="n"/>
      <c r="E12" s="9" t="n"/>
      <c r="F12" s="9" t="n"/>
    </row>
    <row r="13">
      <c r="A13" s="9" t="inlineStr">
        <is>
          <t>Loan Type:</t>
        </is>
      </c>
      <c r="B13" s="9" t="inlineStr">
        <is>
          <t>Standard amortizing equipment loan</t>
        </is>
      </c>
    </row>
    <row r="14">
      <c r="A14" s="9" t="inlineStr">
        <is>
          <t>Classification:</t>
        </is>
      </c>
      <c r="B14" s="9" t="inlineStr">
        <is>
          <t>Equipment - Semi Trucks</t>
        </is>
      </c>
    </row>
    <row r="15">
      <c r="A15" s="9" t="inlineStr">
        <is>
          <t>Amortization:</t>
        </is>
      </c>
      <c r="B15" s="9" t="inlineStr">
        <is>
          <t>Fully amortizing, fixed monthly payments</t>
        </is>
      </c>
    </row>
    <row r="16">
      <c r="A16" s="9" t="inlineStr">
        <is>
          <t>Source Doc:</t>
        </is>
      </c>
      <c r="B16" s="9" t="inlineStr">
        <is>
          <t>Meiborg_Debt_Schedule_202512.xlsx, loans.md</t>
        </is>
      </c>
    </row>
    <row r="17">
      <c r="A17" s="9" t="inlineStr">
        <is>
          <t>Months Remaining:</t>
        </is>
      </c>
      <c r="B17" s="9" t="n">
        <v>18</v>
      </c>
    </row>
    <row r="18">
      <c r="A18" s="9" t="inlineStr">
        <is>
          <t>Model Start:</t>
        </is>
      </c>
      <c r="B18" s="9" t="inlineStr">
        <is>
          <t>January 2026 (balance as of 12/31/2025)</t>
        </is>
      </c>
    </row>
    <row r="19">
      <c r="A19" s="9" t="n"/>
      <c r="B19" s="9" t="n"/>
      <c r="C19" s="9" t="n"/>
      <c r="D19" s="9" t="n"/>
      <c r="E19" s="9" t="n"/>
      <c r="F19" s="9" t="n"/>
    </row>
    <row r="20">
      <c r="A20" s="9" t="n"/>
      <c r="B20" s="9" t="n"/>
      <c r="C20" s="9" t="n"/>
      <c r="D20" s="9" t="n"/>
      <c r="E20" s="9" t="n"/>
      <c r="F20" s="9" t="n"/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11" t="n">
        <v>1</v>
      </c>
      <c r="B23" s="18" t="n">
        <v>46023</v>
      </c>
      <c r="C23" s="13">
        <f>$B$6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11" t="n">
        <v>2</v>
      </c>
      <c r="B24" s="18" t="n">
        <v>46054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11" t="n">
        <v>3</v>
      </c>
      <c r="B25" s="18" t="n">
        <v>46082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11" t="n">
        <v>4</v>
      </c>
      <c r="B26" s="18" t="n">
        <v>46113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11" t="n">
        <v>5</v>
      </c>
      <c r="B27" s="18" t="n">
        <v>46143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11" t="n">
        <v>6</v>
      </c>
      <c r="B28" s="18" t="n">
        <v>46174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11" t="n">
        <v>7</v>
      </c>
      <c r="B29" s="18" t="n">
        <v>46204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11" t="n">
        <v>8</v>
      </c>
      <c r="B30" s="18" t="n">
        <v>46235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11" t="n">
        <v>9</v>
      </c>
      <c r="B31" s="18" t="n">
        <v>46266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11" t="n">
        <v>10</v>
      </c>
      <c r="B32" s="18" t="n">
        <v>46296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11" t="n">
        <v>11</v>
      </c>
      <c r="B33" s="18" t="n">
        <v>46327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4">
      <c r="A34" s="11" t="n">
        <v>12</v>
      </c>
      <c r="B34" s="18" t="n">
        <v>46357</v>
      </c>
      <c r="C34" s="13">
        <f>F33</f>
        <v/>
      </c>
      <c r="D34" s="13">
        <f>MAX(0,C34*$B$7/12)</f>
        <v/>
      </c>
      <c r="E34" s="13">
        <f>MAX(0,MIN(C34,$B$8-D34))</f>
        <v/>
      </c>
      <c r="F34" s="13">
        <f>MAX(0,C34-E34)</f>
        <v/>
      </c>
    </row>
    <row r="35">
      <c r="A35" s="11" t="n">
        <v>13</v>
      </c>
      <c r="B35" s="18" t="n">
        <v>46388</v>
      </c>
      <c r="C35" s="13">
        <f>F34</f>
        <v/>
      </c>
      <c r="D35" s="13">
        <f>MAX(0,C35*$B$7/12)</f>
        <v/>
      </c>
      <c r="E35" s="13">
        <f>MAX(0,MIN(C35,$B$8-D35))</f>
        <v/>
      </c>
      <c r="F35" s="13">
        <f>MAX(0,C35-E35)</f>
        <v/>
      </c>
    </row>
    <row r="36">
      <c r="A36" s="11" t="n">
        <v>14</v>
      </c>
      <c r="B36" s="18" t="n">
        <v>46419</v>
      </c>
      <c r="C36" s="13">
        <f>F35</f>
        <v/>
      </c>
      <c r="D36" s="13">
        <f>MAX(0,C36*$B$7/12)</f>
        <v/>
      </c>
      <c r="E36" s="13">
        <f>MAX(0,MIN(C36,$B$8-D36))</f>
        <v/>
      </c>
      <c r="F36" s="13">
        <f>MAX(0,C36-E36)</f>
        <v/>
      </c>
    </row>
    <row r="37">
      <c r="A37" s="11" t="n">
        <v>15</v>
      </c>
      <c r="B37" s="18" t="n">
        <v>46447</v>
      </c>
      <c r="C37" s="13">
        <f>F36</f>
        <v/>
      </c>
      <c r="D37" s="13">
        <f>MAX(0,C37*$B$7/12)</f>
        <v/>
      </c>
      <c r="E37" s="13">
        <f>MAX(0,MIN(C37,$B$8-D37))</f>
        <v/>
      </c>
      <c r="F37" s="13">
        <f>MAX(0,C37-E37)</f>
        <v/>
      </c>
    </row>
    <row r="38">
      <c r="A38" s="11" t="n">
        <v>16</v>
      </c>
      <c r="B38" s="18" t="n">
        <v>46478</v>
      </c>
      <c r="C38" s="13">
        <f>F37</f>
        <v/>
      </c>
      <c r="D38" s="13">
        <f>MAX(0,C38*$B$7/12)</f>
        <v/>
      </c>
      <c r="E38" s="13">
        <f>MAX(0,MIN(C38,$B$8-D38))</f>
        <v/>
      </c>
      <c r="F38" s="13">
        <f>MAX(0,C38-E38)</f>
        <v/>
      </c>
    </row>
    <row r="39">
      <c r="A39" s="11" t="n">
        <v>17</v>
      </c>
      <c r="B39" s="18" t="n">
        <v>46508</v>
      </c>
      <c r="C39" s="13">
        <f>F38</f>
        <v/>
      </c>
      <c r="D39" s="13">
        <f>MAX(0,C39*$B$7/12)</f>
        <v/>
      </c>
      <c r="E39" s="13">
        <f>MAX(0,MIN(C39,$B$8-D39))</f>
        <v/>
      </c>
      <c r="F39" s="13">
        <f>MAX(0,C39-E39)</f>
        <v/>
      </c>
    </row>
    <row r="40">
      <c r="A40" s="11" t="n">
        <v>18</v>
      </c>
      <c r="B40" s="18" t="n">
        <v>46539</v>
      </c>
      <c r="C40" s="13">
        <f>F39</f>
        <v/>
      </c>
      <c r="D40" s="13">
        <f>MAX(0,C40*$B$7/12)</f>
        <v/>
      </c>
      <c r="E40" s="13">
        <f>MAX(0,MIN(C40,$B$8-D40))</f>
        <v/>
      </c>
      <c r="F40" s="13">
        <f>MAX(0,C40-E40)</f>
        <v/>
      </c>
    </row>
    <row r="43">
      <c r="A43" s="2" t="inlineStr">
        <is>
          <t>ANNUAL SUMMARY</t>
        </is>
      </c>
      <c r="B43" s="3" t="n"/>
      <c r="C43" s="3" t="n"/>
      <c r="D43" s="3" t="n"/>
      <c r="E43" s="3" t="n"/>
      <c r="F43" s="3" t="n"/>
    </row>
    <row r="44">
      <c r="A44" s="14" t="inlineStr">
        <is>
          <t>Year</t>
        </is>
      </c>
      <c r="B44" s="14" t="inlineStr"/>
      <c r="C44" s="14" t="inlineStr">
        <is>
          <t>Opening</t>
        </is>
      </c>
      <c r="D44" s="14" t="inlineStr">
        <is>
          <t>Interest</t>
        </is>
      </c>
      <c r="E44" s="14" t="inlineStr">
        <is>
          <t>Principal</t>
        </is>
      </c>
      <c r="F44" s="14" t="inlineStr">
        <is>
          <t>Closing</t>
        </is>
      </c>
    </row>
    <row r="45">
      <c r="A45" s="15" t="n">
        <v>2026</v>
      </c>
      <c r="B45" s="15" t="inlineStr"/>
      <c r="C45" s="16">
        <f>C23</f>
        <v/>
      </c>
      <c r="D45" s="16">
        <f>SUM(D23:D34)</f>
        <v/>
      </c>
      <c r="E45" s="16">
        <f>SUM(E23:E34)</f>
        <v/>
      </c>
      <c r="F45" s="16">
        <f>F34</f>
        <v/>
      </c>
    </row>
    <row r="46">
      <c r="A46" s="15" t="n">
        <v>2027</v>
      </c>
      <c r="B46" s="15" t="inlineStr"/>
      <c r="C46" s="16">
        <f>C35</f>
        <v/>
      </c>
      <c r="D46" s="16">
        <f>SUM(D35:D40)</f>
        <v/>
      </c>
      <c r="E46" s="16">
        <f>SUM(E35:E40)</f>
        <v/>
      </c>
      <c r="F46" s="16">
        <f>F40</f>
        <v/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0.xml><?xml version="1.0" encoding="utf-8"?>
<worksheet xmlns="http://schemas.openxmlformats.org/spreadsheetml/2006/main">
  <sheetPr>
    <tabColor rgb="00808080"/>
    <outlinePr summaryBelow="1" summaryRight="1"/>
    <pageSetUpPr/>
  </sheetPr>
  <dimension ref="A1:G91"/>
  <sheetViews>
    <sheetView workbookViewId="0">
      <selection activeCell="A1" sqref="A1"/>
    </sheetView>
  </sheetViews>
  <sheetFormatPr baseColWidth="8" defaultRowHeight="15"/>
  <cols>
    <col width="14" customWidth="1" min="1" max="1"/>
    <col width="3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LOAN DETAILS</t>
        </is>
      </c>
    </row>
    <row r="2">
      <c r="A2" t="inlineStr">
        <is>
          <t>Lender:</t>
        </is>
      </c>
      <c r="B2" s="4" t="inlineStr">
        <is>
          <t>CCG - Commercial Credit Group</t>
        </is>
      </c>
    </row>
    <row r="3">
      <c r="A3" t="inlineStr">
        <is>
          <t>Loan Number:</t>
        </is>
      </c>
      <c r="B3" s="4" t="inlineStr">
        <is>
          <t>46873</t>
        </is>
      </c>
    </row>
    <row r="4">
      <c r="A4" t="inlineStr">
        <is>
          <t>Description:</t>
        </is>
      </c>
      <c r="B4" s="4" t="inlineStr">
        <is>
          <t>CCG 5 Trucks 809-813</t>
        </is>
      </c>
    </row>
    <row r="5">
      <c r="A5" t="inlineStr">
        <is>
          <t>Collateral:</t>
        </is>
      </c>
      <c r="B5" s="4" t="inlineStr">
        <is>
          <t>Equipment - Semi Trucks</t>
        </is>
      </c>
    </row>
    <row r="6">
      <c r="A6" t="inlineStr">
        <is>
          <t>Original Balance:</t>
        </is>
      </c>
      <c r="B6" s="26" t="n">
        <v>940000</v>
      </c>
    </row>
    <row r="7">
      <c r="A7" t="inlineStr">
        <is>
          <t>Current Balance:</t>
        </is>
      </c>
      <c r="B7" s="26" t="n">
        <v>875453</v>
      </c>
    </row>
    <row r="8">
      <c r="A8" t="inlineStr">
        <is>
          <t>Annual Rate:</t>
        </is>
      </c>
      <c r="B8" s="6" t="n">
        <v>0.105</v>
      </c>
    </row>
    <row r="9">
      <c r="A9" t="inlineStr">
        <is>
          <t>Monthly Payment:</t>
        </is>
      </c>
      <c r="B9" s="26" t="n">
        <v>20250</v>
      </c>
    </row>
    <row r="10">
      <c r="A10" t="inlineStr">
        <is>
          <t>Loan Type:</t>
        </is>
      </c>
      <c r="B10" s="4" t="inlineStr">
        <is>
          <t>AMORTIZING</t>
        </is>
      </c>
    </row>
    <row r="12">
      <c r="A12" s="2" t="inlineStr">
        <is>
          <t>AI ANALYSIS</t>
        </is>
      </c>
    </row>
    <row r="13">
      <c r="A13" s="9" t="inlineStr">
        <is>
          <t>Loan Classification:</t>
        </is>
      </c>
      <c r="B13" s="9" t="inlineStr">
        <is>
          <t>AMORTIZING</t>
        </is>
      </c>
      <c r="C13" s="9" t="n"/>
    </row>
    <row r="14">
      <c r="A14" s="9" t="inlineStr">
        <is>
          <t>Origination Date:</t>
        </is>
      </c>
      <c r="B14" s="34" t="n">
        <v>45971</v>
      </c>
      <c r="C14" s="9" t="n"/>
    </row>
    <row r="15">
      <c r="A15" s="9" t="inlineStr">
        <is>
          <t>Maturity Date:</t>
        </is>
      </c>
      <c r="B15" s="34" t="n">
        <v>47705</v>
      </c>
      <c r="C15" s="9" t="n"/>
    </row>
    <row r="16">
      <c r="A16" s="9" t="inlineStr">
        <is>
          <t>Total Term (months):</t>
        </is>
      </c>
      <c r="B16" s="9" t="n">
        <v>57</v>
      </c>
      <c r="C16" s="9" t="n"/>
    </row>
    <row r="17">
      <c r="A17" s="9" t="inlineStr">
        <is>
          <t>Months Elapsed:</t>
        </is>
      </c>
      <c r="B17" s="9" t="n">
        <v>1</v>
      </c>
      <c r="C17" s="9" t="n"/>
    </row>
    <row r="18">
      <c r="A18" s="9" t="inlineStr">
        <is>
          <t>Months Remaining:</t>
        </is>
      </c>
      <c r="B18" s="9" t="n">
        <v>56</v>
      </c>
      <c r="C18" s="9" t="n"/>
    </row>
    <row r="19">
      <c r="A19" s="9" t="inlineStr">
        <is>
          <t>Monthly Rate:</t>
        </is>
      </c>
      <c r="B19" s="41">
        <f>B8/12</f>
        <v/>
      </c>
      <c r="C19" s="9" t="n"/>
    </row>
    <row r="20">
      <c r="A20" s="9" t="inlineStr">
        <is>
          <t>Source Document:</t>
        </is>
      </c>
      <c r="B20" s="9" t="inlineStr">
        <is>
          <t>Meiborg_Debt_Schedule_202512.xlsx - Loan 53</t>
        </is>
      </c>
      <c r="C20" s="9" t="n"/>
    </row>
    <row r="22">
      <c r="A22" s="2" t="inlineStr">
        <is>
          <t>AMORTIZATION SCHEDULE</t>
        </is>
      </c>
    </row>
    <row r="23">
      <c r="A23" s="36" t="inlineStr">
        <is>
          <t>Month #</t>
        </is>
      </c>
      <c r="B23" s="36" t="inlineStr">
        <is>
          <t>Date</t>
        </is>
      </c>
      <c r="C23" s="36" t="inlineStr">
        <is>
          <t>Opening Balance</t>
        </is>
      </c>
      <c r="D23" s="36" t="inlineStr">
        <is>
          <t>Interest</t>
        </is>
      </c>
      <c r="E23" s="36" t="inlineStr">
        <is>
          <t>Principal</t>
        </is>
      </c>
      <c r="F23" s="36" t="inlineStr">
        <is>
          <t>Closing Balance</t>
        </is>
      </c>
      <c r="G23" s="36" t="inlineStr">
        <is>
          <t>Year</t>
        </is>
      </c>
    </row>
    <row r="24">
      <c r="A24" s="37" t="n">
        <v>1</v>
      </c>
      <c r="B24" s="42" t="n">
        <v>46023</v>
      </c>
      <c r="C24" s="39">
        <f>$B$7</f>
        <v/>
      </c>
      <c r="D24" s="39">
        <f>MAX(0,C24*$B$8/12)</f>
        <v/>
      </c>
      <c r="E24" s="39">
        <f>MAX(0,MIN(C24,$B$9-D24))</f>
        <v/>
      </c>
      <c r="F24" s="39">
        <f>MAX(0,C24-E24)</f>
        <v/>
      </c>
      <c r="G24" s="37" t="n">
        <v>2026</v>
      </c>
    </row>
    <row r="25">
      <c r="A25" s="37" t="n">
        <v>2</v>
      </c>
      <c r="B25" s="42" t="n">
        <v>46054</v>
      </c>
      <c r="C25" s="39">
        <f>MAX(0,F24)</f>
        <v/>
      </c>
      <c r="D25" s="39">
        <f>MAX(0,C25*$B$8/12)</f>
        <v/>
      </c>
      <c r="E25" s="39">
        <f>MAX(0,MIN(C25,$B$9-D25))</f>
        <v/>
      </c>
      <c r="F25" s="39">
        <f>MAX(0,C25-E25)</f>
        <v/>
      </c>
      <c r="G25" s="37" t="n">
        <v>2026</v>
      </c>
    </row>
    <row r="26">
      <c r="A26" s="37" t="n">
        <v>3</v>
      </c>
      <c r="B26" s="42" t="n">
        <v>46082</v>
      </c>
      <c r="C26" s="39">
        <f>MAX(0,F25)</f>
        <v/>
      </c>
      <c r="D26" s="39">
        <f>MAX(0,C26*$B$8/12)</f>
        <v/>
      </c>
      <c r="E26" s="39">
        <f>MAX(0,MIN(C26,$B$9-D26))</f>
        <v/>
      </c>
      <c r="F26" s="39">
        <f>MAX(0,C26-E26)</f>
        <v/>
      </c>
      <c r="G26" s="37" t="n">
        <v>2026</v>
      </c>
    </row>
    <row r="27">
      <c r="A27" s="37" t="n">
        <v>4</v>
      </c>
      <c r="B27" s="42" t="n">
        <v>46113</v>
      </c>
      <c r="C27" s="39">
        <f>MAX(0,F26)</f>
        <v/>
      </c>
      <c r="D27" s="39">
        <f>MAX(0,C27*$B$8/12)</f>
        <v/>
      </c>
      <c r="E27" s="39">
        <f>MAX(0,MIN(C27,$B$9-D27))</f>
        <v/>
      </c>
      <c r="F27" s="39">
        <f>MAX(0,C27-E27)</f>
        <v/>
      </c>
      <c r="G27" s="37" t="n">
        <v>2026</v>
      </c>
    </row>
    <row r="28">
      <c r="A28" s="37" t="n">
        <v>5</v>
      </c>
      <c r="B28" s="42" t="n">
        <v>46143</v>
      </c>
      <c r="C28" s="39">
        <f>MAX(0,F27)</f>
        <v/>
      </c>
      <c r="D28" s="39">
        <f>MAX(0,C28*$B$8/12)</f>
        <v/>
      </c>
      <c r="E28" s="39">
        <f>MAX(0,MIN(C28,$B$9-D28))</f>
        <v/>
      </c>
      <c r="F28" s="39">
        <f>MAX(0,C28-E28)</f>
        <v/>
      </c>
      <c r="G28" s="37" t="n">
        <v>2026</v>
      </c>
    </row>
    <row r="29">
      <c r="A29" s="37" t="n">
        <v>6</v>
      </c>
      <c r="B29" s="42" t="n">
        <v>46174</v>
      </c>
      <c r="C29" s="39">
        <f>MAX(0,F28)</f>
        <v/>
      </c>
      <c r="D29" s="39">
        <f>MAX(0,C29*$B$8/12)</f>
        <v/>
      </c>
      <c r="E29" s="39">
        <f>MAX(0,MIN(C29,$B$9-D29))</f>
        <v/>
      </c>
      <c r="F29" s="39">
        <f>MAX(0,C29-E29)</f>
        <v/>
      </c>
      <c r="G29" s="37" t="n">
        <v>2026</v>
      </c>
    </row>
    <row r="30">
      <c r="A30" s="37" t="n">
        <v>7</v>
      </c>
      <c r="B30" s="42" t="n">
        <v>46204</v>
      </c>
      <c r="C30" s="39">
        <f>MAX(0,F29)</f>
        <v/>
      </c>
      <c r="D30" s="39">
        <f>MAX(0,C30*$B$8/12)</f>
        <v/>
      </c>
      <c r="E30" s="39">
        <f>MAX(0,MIN(C30,$B$9-D30))</f>
        <v/>
      </c>
      <c r="F30" s="39">
        <f>MAX(0,C30-E30)</f>
        <v/>
      </c>
      <c r="G30" s="37" t="n">
        <v>2026</v>
      </c>
    </row>
    <row r="31">
      <c r="A31" s="37" t="n">
        <v>8</v>
      </c>
      <c r="B31" s="42" t="n">
        <v>46235</v>
      </c>
      <c r="C31" s="39">
        <f>MAX(0,F30)</f>
        <v/>
      </c>
      <c r="D31" s="39">
        <f>MAX(0,C31*$B$8/12)</f>
        <v/>
      </c>
      <c r="E31" s="39">
        <f>MAX(0,MIN(C31,$B$9-D31))</f>
        <v/>
      </c>
      <c r="F31" s="39">
        <f>MAX(0,C31-E31)</f>
        <v/>
      </c>
      <c r="G31" s="37" t="n">
        <v>2026</v>
      </c>
    </row>
    <row r="32">
      <c r="A32" s="37" t="n">
        <v>9</v>
      </c>
      <c r="B32" s="42" t="n">
        <v>46266</v>
      </c>
      <c r="C32" s="39">
        <f>MAX(0,F31)</f>
        <v/>
      </c>
      <c r="D32" s="39">
        <f>MAX(0,C32*$B$8/12)</f>
        <v/>
      </c>
      <c r="E32" s="39">
        <f>MAX(0,MIN(C32,$B$9-D32))</f>
        <v/>
      </c>
      <c r="F32" s="39">
        <f>MAX(0,C32-E32)</f>
        <v/>
      </c>
      <c r="G32" s="37" t="n">
        <v>2026</v>
      </c>
    </row>
    <row r="33">
      <c r="A33" s="37" t="n">
        <v>10</v>
      </c>
      <c r="B33" s="42" t="n">
        <v>46296</v>
      </c>
      <c r="C33" s="39">
        <f>MAX(0,F32)</f>
        <v/>
      </c>
      <c r="D33" s="39">
        <f>MAX(0,C33*$B$8/12)</f>
        <v/>
      </c>
      <c r="E33" s="39">
        <f>MAX(0,MIN(C33,$B$9-D33))</f>
        <v/>
      </c>
      <c r="F33" s="39">
        <f>MAX(0,C33-E33)</f>
        <v/>
      </c>
      <c r="G33" s="37" t="n">
        <v>2026</v>
      </c>
    </row>
    <row r="34">
      <c r="A34" s="37" t="n">
        <v>11</v>
      </c>
      <c r="B34" s="42" t="n">
        <v>46327</v>
      </c>
      <c r="C34" s="39">
        <f>MAX(0,F33)</f>
        <v/>
      </c>
      <c r="D34" s="39">
        <f>MAX(0,C34*$B$8/12)</f>
        <v/>
      </c>
      <c r="E34" s="39">
        <f>MAX(0,MIN(C34,$B$9-D34))</f>
        <v/>
      </c>
      <c r="F34" s="39">
        <f>MAX(0,C34-E34)</f>
        <v/>
      </c>
      <c r="G34" s="37" t="n">
        <v>2026</v>
      </c>
    </row>
    <row r="35">
      <c r="A35" s="37" t="n">
        <v>12</v>
      </c>
      <c r="B35" s="42" t="n">
        <v>46357</v>
      </c>
      <c r="C35" s="39">
        <f>MAX(0,F34)</f>
        <v/>
      </c>
      <c r="D35" s="39">
        <f>MAX(0,C35*$B$8/12)</f>
        <v/>
      </c>
      <c r="E35" s="39">
        <f>MAX(0,MIN(C35,$B$9-D35))</f>
        <v/>
      </c>
      <c r="F35" s="39">
        <f>MAX(0,C35-E35)</f>
        <v/>
      </c>
      <c r="G35" s="37" t="n">
        <v>2026</v>
      </c>
    </row>
    <row r="36">
      <c r="A36" s="37" t="n">
        <v>13</v>
      </c>
      <c r="B36" s="42" t="n">
        <v>46388</v>
      </c>
      <c r="C36" s="39">
        <f>MAX(0,F35)</f>
        <v/>
      </c>
      <c r="D36" s="39">
        <f>MAX(0,C36*$B$8/12)</f>
        <v/>
      </c>
      <c r="E36" s="39">
        <f>MAX(0,MIN(C36,$B$9-D36))</f>
        <v/>
      </c>
      <c r="F36" s="39">
        <f>MAX(0,C36-E36)</f>
        <v/>
      </c>
      <c r="G36" s="37" t="n">
        <v>2027</v>
      </c>
    </row>
    <row r="37">
      <c r="A37" s="37" t="n">
        <v>14</v>
      </c>
      <c r="B37" s="42" t="n">
        <v>46419</v>
      </c>
      <c r="C37" s="39">
        <f>MAX(0,F36)</f>
        <v/>
      </c>
      <c r="D37" s="39">
        <f>MAX(0,C37*$B$8/12)</f>
        <v/>
      </c>
      <c r="E37" s="39">
        <f>MAX(0,MIN(C37,$B$9-D37))</f>
        <v/>
      </c>
      <c r="F37" s="39">
        <f>MAX(0,C37-E37)</f>
        <v/>
      </c>
      <c r="G37" s="37" t="n">
        <v>2027</v>
      </c>
    </row>
    <row r="38">
      <c r="A38" s="37" t="n">
        <v>15</v>
      </c>
      <c r="B38" s="42" t="n">
        <v>46447</v>
      </c>
      <c r="C38" s="39">
        <f>MAX(0,F37)</f>
        <v/>
      </c>
      <c r="D38" s="39">
        <f>MAX(0,C38*$B$8/12)</f>
        <v/>
      </c>
      <c r="E38" s="39">
        <f>MAX(0,MIN(C38,$B$9-D38))</f>
        <v/>
      </c>
      <c r="F38" s="39">
        <f>MAX(0,C38-E38)</f>
        <v/>
      </c>
      <c r="G38" s="37" t="n">
        <v>2027</v>
      </c>
    </row>
    <row r="39">
      <c r="A39" s="37" t="n">
        <v>16</v>
      </c>
      <c r="B39" s="42" t="n">
        <v>46478</v>
      </c>
      <c r="C39" s="39">
        <f>MAX(0,F38)</f>
        <v/>
      </c>
      <c r="D39" s="39">
        <f>MAX(0,C39*$B$8/12)</f>
        <v/>
      </c>
      <c r="E39" s="39">
        <f>MAX(0,MIN(C39,$B$9-D39))</f>
        <v/>
      </c>
      <c r="F39" s="39">
        <f>MAX(0,C39-E39)</f>
        <v/>
      </c>
      <c r="G39" s="37" t="n">
        <v>2027</v>
      </c>
    </row>
    <row r="40">
      <c r="A40" s="37" t="n">
        <v>17</v>
      </c>
      <c r="B40" s="42" t="n">
        <v>46508</v>
      </c>
      <c r="C40" s="39">
        <f>MAX(0,F39)</f>
        <v/>
      </c>
      <c r="D40" s="39">
        <f>MAX(0,C40*$B$8/12)</f>
        <v/>
      </c>
      <c r="E40" s="39">
        <f>MAX(0,MIN(C40,$B$9-D40))</f>
        <v/>
      </c>
      <c r="F40" s="39">
        <f>MAX(0,C40-E40)</f>
        <v/>
      </c>
      <c r="G40" s="37" t="n">
        <v>2027</v>
      </c>
    </row>
    <row r="41">
      <c r="A41" s="37" t="n">
        <v>18</v>
      </c>
      <c r="B41" s="42" t="n">
        <v>46539</v>
      </c>
      <c r="C41" s="39">
        <f>MAX(0,F40)</f>
        <v/>
      </c>
      <c r="D41" s="39">
        <f>MAX(0,C41*$B$8/12)</f>
        <v/>
      </c>
      <c r="E41" s="39">
        <f>MAX(0,MIN(C41,$B$9-D41))</f>
        <v/>
      </c>
      <c r="F41" s="39">
        <f>MAX(0,C41-E41)</f>
        <v/>
      </c>
      <c r="G41" s="37" t="n">
        <v>2027</v>
      </c>
    </row>
    <row r="42">
      <c r="A42" s="37" t="n">
        <v>19</v>
      </c>
      <c r="B42" s="42" t="n">
        <v>46569</v>
      </c>
      <c r="C42" s="39">
        <f>MAX(0,F41)</f>
        <v/>
      </c>
      <c r="D42" s="39">
        <f>MAX(0,C42*$B$8/12)</f>
        <v/>
      </c>
      <c r="E42" s="39">
        <f>MAX(0,MIN(C42,$B$9-D42))</f>
        <v/>
      </c>
      <c r="F42" s="39">
        <f>MAX(0,C42-E42)</f>
        <v/>
      </c>
      <c r="G42" s="37" t="n">
        <v>2027</v>
      </c>
    </row>
    <row r="43">
      <c r="A43" s="37" t="n">
        <v>20</v>
      </c>
      <c r="B43" s="42" t="n">
        <v>46600</v>
      </c>
      <c r="C43" s="39">
        <f>MAX(0,F42)</f>
        <v/>
      </c>
      <c r="D43" s="39">
        <f>MAX(0,C43*$B$8/12)</f>
        <v/>
      </c>
      <c r="E43" s="39">
        <f>MAX(0,MIN(C43,$B$9-D43))</f>
        <v/>
      </c>
      <c r="F43" s="39">
        <f>MAX(0,C43-E43)</f>
        <v/>
      </c>
      <c r="G43" s="37" t="n">
        <v>2027</v>
      </c>
    </row>
    <row r="44">
      <c r="A44" s="37" t="n">
        <v>21</v>
      </c>
      <c r="B44" s="42" t="n">
        <v>46631</v>
      </c>
      <c r="C44" s="39">
        <f>MAX(0,F43)</f>
        <v/>
      </c>
      <c r="D44" s="39">
        <f>MAX(0,C44*$B$8/12)</f>
        <v/>
      </c>
      <c r="E44" s="39">
        <f>MAX(0,MIN(C44,$B$9-D44))</f>
        <v/>
      </c>
      <c r="F44" s="39">
        <f>MAX(0,C44-E44)</f>
        <v/>
      </c>
      <c r="G44" s="37" t="n">
        <v>2027</v>
      </c>
    </row>
    <row r="45">
      <c r="A45" s="37" t="n">
        <v>22</v>
      </c>
      <c r="B45" s="42" t="n">
        <v>46661</v>
      </c>
      <c r="C45" s="39">
        <f>MAX(0,F44)</f>
        <v/>
      </c>
      <c r="D45" s="39">
        <f>MAX(0,C45*$B$8/12)</f>
        <v/>
      </c>
      <c r="E45" s="39">
        <f>MAX(0,MIN(C45,$B$9-D45))</f>
        <v/>
      </c>
      <c r="F45" s="39">
        <f>MAX(0,C45-E45)</f>
        <v/>
      </c>
      <c r="G45" s="37" t="n">
        <v>2027</v>
      </c>
    </row>
    <row r="46">
      <c r="A46" s="37" t="n">
        <v>23</v>
      </c>
      <c r="B46" s="42" t="n">
        <v>46692</v>
      </c>
      <c r="C46" s="39">
        <f>MAX(0,F45)</f>
        <v/>
      </c>
      <c r="D46" s="39">
        <f>MAX(0,C46*$B$8/12)</f>
        <v/>
      </c>
      <c r="E46" s="39">
        <f>MAX(0,MIN(C46,$B$9-D46))</f>
        <v/>
      </c>
      <c r="F46" s="39">
        <f>MAX(0,C46-E46)</f>
        <v/>
      </c>
      <c r="G46" s="37" t="n">
        <v>2027</v>
      </c>
    </row>
    <row r="47">
      <c r="A47" s="37" t="n">
        <v>24</v>
      </c>
      <c r="B47" s="42" t="n">
        <v>46722</v>
      </c>
      <c r="C47" s="39">
        <f>MAX(0,F46)</f>
        <v/>
      </c>
      <c r="D47" s="39">
        <f>MAX(0,C47*$B$8/12)</f>
        <v/>
      </c>
      <c r="E47" s="39">
        <f>MAX(0,MIN(C47,$B$9-D47))</f>
        <v/>
      </c>
      <c r="F47" s="39">
        <f>MAX(0,C47-E47)</f>
        <v/>
      </c>
      <c r="G47" s="37" t="n">
        <v>2027</v>
      </c>
    </row>
    <row r="48">
      <c r="A48" s="37" t="n">
        <v>25</v>
      </c>
      <c r="B48" s="42" t="n">
        <v>46753</v>
      </c>
      <c r="C48" s="39">
        <f>MAX(0,F47)</f>
        <v/>
      </c>
      <c r="D48" s="39">
        <f>MAX(0,C48*$B$8/12)</f>
        <v/>
      </c>
      <c r="E48" s="39">
        <f>MAX(0,MIN(C48,$B$9-D48))</f>
        <v/>
      </c>
      <c r="F48" s="39">
        <f>MAX(0,C48-E48)</f>
        <v/>
      </c>
      <c r="G48" s="37" t="n">
        <v>2028</v>
      </c>
    </row>
    <row r="49">
      <c r="A49" s="37" t="n">
        <v>26</v>
      </c>
      <c r="B49" s="42" t="n">
        <v>46784</v>
      </c>
      <c r="C49" s="39">
        <f>MAX(0,F48)</f>
        <v/>
      </c>
      <c r="D49" s="39">
        <f>MAX(0,C49*$B$8/12)</f>
        <v/>
      </c>
      <c r="E49" s="39">
        <f>MAX(0,MIN(C49,$B$9-D49))</f>
        <v/>
      </c>
      <c r="F49" s="39">
        <f>MAX(0,C49-E49)</f>
        <v/>
      </c>
      <c r="G49" s="37" t="n">
        <v>2028</v>
      </c>
    </row>
    <row r="50">
      <c r="A50" s="37" t="n">
        <v>27</v>
      </c>
      <c r="B50" s="42" t="n">
        <v>46813</v>
      </c>
      <c r="C50" s="39">
        <f>MAX(0,F49)</f>
        <v/>
      </c>
      <c r="D50" s="39">
        <f>MAX(0,C50*$B$8/12)</f>
        <v/>
      </c>
      <c r="E50" s="39">
        <f>MAX(0,MIN(C50,$B$9-D50))</f>
        <v/>
      </c>
      <c r="F50" s="39">
        <f>MAX(0,C50-E50)</f>
        <v/>
      </c>
      <c r="G50" s="37" t="n">
        <v>2028</v>
      </c>
    </row>
    <row r="51">
      <c r="A51" s="37" t="n">
        <v>28</v>
      </c>
      <c r="B51" s="42" t="n">
        <v>46844</v>
      </c>
      <c r="C51" s="39">
        <f>MAX(0,F50)</f>
        <v/>
      </c>
      <c r="D51" s="39">
        <f>MAX(0,C51*$B$8/12)</f>
        <v/>
      </c>
      <c r="E51" s="39">
        <f>MAX(0,MIN(C51,$B$9-D51))</f>
        <v/>
      </c>
      <c r="F51" s="39">
        <f>MAX(0,C51-E51)</f>
        <v/>
      </c>
      <c r="G51" s="37" t="n">
        <v>2028</v>
      </c>
    </row>
    <row r="52">
      <c r="A52" s="37" t="n">
        <v>29</v>
      </c>
      <c r="B52" s="42" t="n">
        <v>46874</v>
      </c>
      <c r="C52" s="39">
        <f>MAX(0,F51)</f>
        <v/>
      </c>
      <c r="D52" s="39">
        <f>MAX(0,C52*$B$8/12)</f>
        <v/>
      </c>
      <c r="E52" s="39">
        <f>MAX(0,MIN(C52,$B$9-D52))</f>
        <v/>
      </c>
      <c r="F52" s="39">
        <f>MAX(0,C52-E52)</f>
        <v/>
      </c>
      <c r="G52" s="37" t="n">
        <v>2028</v>
      </c>
    </row>
    <row r="53">
      <c r="A53" s="37" t="n">
        <v>30</v>
      </c>
      <c r="B53" s="42" t="n">
        <v>46905</v>
      </c>
      <c r="C53" s="39">
        <f>MAX(0,F52)</f>
        <v/>
      </c>
      <c r="D53" s="39">
        <f>MAX(0,C53*$B$8/12)</f>
        <v/>
      </c>
      <c r="E53" s="39">
        <f>MAX(0,MIN(C53,$B$9-D53))</f>
        <v/>
      </c>
      <c r="F53" s="39">
        <f>MAX(0,C53-E53)</f>
        <v/>
      </c>
      <c r="G53" s="37" t="n">
        <v>2028</v>
      </c>
    </row>
    <row r="54">
      <c r="A54" s="37" t="n">
        <v>31</v>
      </c>
      <c r="B54" s="42" t="n">
        <v>46935</v>
      </c>
      <c r="C54" s="39">
        <f>MAX(0,F53)</f>
        <v/>
      </c>
      <c r="D54" s="39">
        <f>MAX(0,C54*$B$8/12)</f>
        <v/>
      </c>
      <c r="E54" s="39">
        <f>MAX(0,MIN(C54,$B$9-D54))</f>
        <v/>
      </c>
      <c r="F54" s="39">
        <f>MAX(0,C54-E54)</f>
        <v/>
      </c>
      <c r="G54" s="37" t="n">
        <v>2028</v>
      </c>
    </row>
    <row r="55">
      <c r="A55" s="37" t="n">
        <v>32</v>
      </c>
      <c r="B55" s="42" t="n">
        <v>46966</v>
      </c>
      <c r="C55" s="39">
        <f>MAX(0,F54)</f>
        <v/>
      </c>
      <c r="D55" s="39">
        <f>MAX(0,C55*$B$8/12)</f>
        <v/>
      </c>
      <c r="E55" s="39">
        <f>MAX(0,MIN(C55,$B$9-D55))</f>
        <v/>
      </c>
      <c r="F55" s="39">
        <f>MAX(0,C55-E55)</f>
        <v/>
      </c>
      <c r="G55" s="37" t="n">
        <v>2028</v>
      </c>
    </row>
    <row r="56">
      <c r="A56" s="37" t="n">
        <v>33</v>
      </c>
      <c r="B56" s="42" t="n">
        <v>46997</v>
      </c>
      <c r="C56" s="39">
        <f>MAX(0,F55)</f>
        <v/>
      </c>
      <c r="D56" s="39">
        <f>MAX(0,C56*$B$8/12)</f>
        <v/>
      </c>
      <c r="E56" s="39">
        <f>MAX(0,MIN(C56,$B$9-D56))</f>
        <v/>
      </c>
      <c r="F56" s="39">
        <f>MAX(0,C56-E56)</f>
        <v/>
      </c>
      <c r="G56" s="37" t="n">
        <v>2028</v>
      </c>
    </row>
    <row r="57">
      <c r="A57" s="37" t="n">
        <v>34</v>
      </c>
      <c r="B57" s="42" t="n">
        <v>47027</v>
      </c>
      <c r="C57" s="39">
        <f>MAX(0,F56)</f>
        <v/>
      </c>
      <c r="D57" s="39">
        <f>MAX(0,C57*$B$8/12)</f>
        <v/>
      </c>
      <c r="E57" s="39">
        <f>MAX(0,MIN(C57,$B$9-D57))</f>
        <v/>
      </c>
      <c r="F57" s="39">
        <f>MAX(0,C57-E57)</f>
        <v/>
      </c>
      <c r="G57" s="37" t="n">
        <v>2028</v>
      </c>
    </row>
    <row r="58">
      <c r="A58" s="37" t="n">
        <v>35</v>
      </c>
      <c r="B58" s="42" t="n">
        <v>47058</v>
      </c>
      <c r="C58" s="39">
        <f>MAX(0,F57)</f>
        <v/>
      </c>
      <c r="D58" s="39">
        <f>MAX(0,C58*$B$8/12)</f>
        <v/>
      </c>
      <c r="E58" s="39">
        <f>MAX(0,MIN(C58,$B$9-D58))</f>
        <v/>
      </c>
      <c r="F58" s="39">
        <f>MAX(0,C58-E58)</f>
        <v/>
      </c>
      <c r="G58" s="37" t="n">
        <v>2028</v>
      </c>
    </row>
    <row r="59">
      <c r="A59" s="37" t="n">
        <v>36</v>
      </c>
      <c r="B59" s="42" t="n">
        <v>47088</v>
      </c>
      <c r="C59" s="39">
        <f>MAX(0,F58)</f>
        <v/>
      </c>
      <c r="D59" s="39">
        <f>MAX(0,C59*$B$8/12)</f>
        <v/>
      </c>
      <c r="E59" s="39">
        <f>MAX(0,MIN(C59,$B$9-D59))</f>
        <v/>
      </c>
      <c r="F59" s="39">
        <f>MAX(0,C59-E59)</f>
        <v/>
      </c>
      <c r="G59" s="37" t="n">
        <v>2028</v>
      </c>
    </row>
    <row r="60">
      <c r="A60" s="37" t="n">
        <v>37</v>
      </c>
      <c r="B60" s="42" t="n">
        <v>47119</v>
      </c>
      <c r="C60" s="39">
        <f>MAX(0,F59)</f>
        <v/>
      </c>
      <c r="D60" s="39">
        <f>MAX(0,C60*$B$8/12)</f>
        <v/>
      </c>
      <c r="E60" s="39">
        <f>MAX(0,MIN(C60,$B$9-D60))</f>
        <v/>
      </c>
      <c r="F60" s="39">
        <f>MAX(0,C60-E60)</f>
        <v/>
      </c>
      <c r="G60" s="37" t="n">
        <v>2029</v>
      </c>
    </row>
    <row r="61">
      <c r="A61" s="37" t="n">
        <v>38</v>
      </c>
      <c r="B61" s="42" t="n">
        <v>47150</v>
      </c>
      <c r="C61" s="39">
        <f>MAX(0,F60)</f>
        <v/>
      </c>
      <c r="D61" s="39">
        <f>MAX(0,C61*$B$8/12)</f>
        <v/>
      </c>
      <c r="E61" s="39">
        <f>MAX(0,MIN(C61,$B$9-D61))</f>
        <v/>
      </c>
      <c r="F61" s="39">
        <f>MAX(0,C61-E61)</f>
        <v/>
      </c>
      <c r="G61" s="37" t="n">
        <v>2029</v>
      </c>
    </row>
    <row r="62">
      <c r="A62" s="37" t="n">
        <v>39</v>
      </c>
      <c r="B62" s="42" t="n">
        <v>47178</v>
      </c>
      <c r="C62" s="39">
        <f>MAX(0,F61)</f>
        <v/>
      </c>
      <c r="D62" s="39">
        <f>MAX(0,C62*$B$8/12)</f>
        <v/>
      </c>
      <c r="E62" s="39">
        <f>MAX(0,MIN(C62,$B$9-D62))</f>
        <v/>
      </c>
      <c r="F62" s="39">
        <f>MAX(0,C62-E62)</f>
        <v/>
      </c>
      <c r="G62" s="37" t="n">
        <v>2029</v>
      </c>
    </row>
    <row r="63">
      <c r="A63" s="37" t="n">
        <v>40</v>
      </c>
      <c r="B63" s="42" t="n">
        <v>47209</v>
      </c>
      <c r="C63" s="39">
        <f>MAX(0,F62)</f>
        <v/>
      </c>
      <c r="D63" s="39">
        <f>MAX(0,C63*$B$8/12)</f>
        <v/>
      </c>
      <c r="E63" s="39">
        <f>MAX(0,MIN(C63,$B$9-D63))</f>
        <v/>
      </c>
      <c r="F63" s="39">
        <f>MAX(0,C63-E63)</f>
        <v/>
      </c>
      <c r="G63" s="37" t="n">
        <v>2029</v>
      </c>
    </row>
    <row r="64">
      <c r="A64" s="37" t="n">
        <v>41</v>
      </c>
      <c r="B64" s="42" t="n">
        <v>47239</v>
      </c>
      <c r="C64" s="39">
        <f>MAX(0,F63)</f>
        <v/>
      </c>
      <c r="D64" s="39">
        <f>MAX(0,C64*$B$8/12)</f>
        <v/>
      </c>
      <c r="E64" s="39">
        <f>MAX(0,MIN(C64,$B$9-D64))</f>
        <v/>
      </c>
      <c r="F64" s="39">
        <f>MAX(0,C64-E64)</f>
        <v/>
      </c>
      <c r="G64" s="37" t="n">
        <v>2029</v>
      </c>
    </row>
    <row r="65">
      <c r="A65" s="37" t="n">
        <v>42</v>
      </c>
      <c r="B65" s="42" t="n">
        <v>47270</v>
      </c>
      <c r="C65" s="39">
        <f>MAX(0,F64)</f>
        <v/>
      </c>
      <c r="D65" s="39">
        <f>MAX(0,C65*$B$8/12)</f>
        <v/>
      </c>
      <c r="E65" s="39">
        <f>MAX(0,MIN(C65,$B$9-D65))</f>
        <v/>
      </c>
      <c r="F65" s="39">
        <f>MAX(0,C65-E65)</f>
        <v/>
      </c>
      <c r="G65" s="37" t="n">
        <v>2029</v>
      </c>
    </row>
    <row r="66">
      <c r="A66" s="37" t="n">
        <v>43</v>
      </c>
      <c r="B66" s="42" t="n">
        <v>47300</v>
      </c>
      <c r="C66" s="39">
        <f>MAX(0,F65)</f>
        <v/>
      </c>
      <c r="D66" s="39">
        <f>MAX(0,C66*$B$8/12)</f>
        <v/>
      </c>
      <c r="E66" s="39">
        <f>MAX(0,MIN(C66,$B$9-D66))</f>
        <v/>
      </c>
      <c r="F66" s="39">
        <f>MAX(0,C66-E66)</f>
        <v/>
      </c>
      <c r="G66" s="37" t="n">
        <v>2029</v>
      </c>
    </row>
    <row r="67">
      <c r="A67" s="37" t="n">
        <v>44</v>
      </c>
      <c r="B67" s="42" t="n">
        <v>47331</v>
      </c>
      <c r="C67" s="39">
        <f>MAX(0,F66)</f>
        <v/>
      </c>
      <c r="D67" s="39">
        <f>MAX(0,C67*$B$8/12)</f>
        <v/>
      </c>
      <c r="E67" s="39">
        <f>MAX(0,MIN(C67,$B$9-D67))</f>
        <v/>
      </c>
      <c r="F67" s="39">
        <f>MAX(0,C67-E67)</f>
        <v/>
      </c>
      <c r="G67" s="37" t="n">
        <v>2029</v>
      </c>
    </row>
    <row r="68">
      <c r="A68" s="37" t="n">
        <v>45</v>
      </c>
      <c r="B68" s="42" t="n">
        <v>47362</v>
      </c>
      <c r="C68" s="39">
        <f>MAX(0,F67)</f>
        <v/>
      </c>
      <c r="D68" s="39">
        <f>MAX(0,C68*$B$8/12)</f>
        <v/>
      </c>
      <c r="E68" s="39">
        <f>MAX(0,MIN(C68,$B$9-D68))</f>
        <v/>
      </c>
      <c r="F68" s="39">
        <f>MAX(0,C68-E68)</f>
        <v/>
      </c>
      <c r="G68" s="37" t="n">
        <v>2029</v>
      </c>
    </row>
    <row r="69">
      <c r="A69" s="37" t="n">
        <v>46</v>
      </c>
      <c r="B69" s="42" t="n">
        <v>47392</v>
      </c>
      <c r="C69" s="39">
        <f>MAX(0,F68)</f>
        <v/>
      </c>
      <c r="D69" s="39">
        <f>MAX(0,C69*$B$8/12)</f>
        <v/>
      </c>
      <c r="E69" s="39">
        <f>MAX(0,MIN(C69,$B$9-D69))</f>
        <v/>
      </c>
      <c r="F69" s="39">
        <f>MAX(0,C69-E69)</f>
        <v/>
      </c>
      <c r="G69" s="37" t="n">
        <v>2029</v>
      </c>
    </row>
    <row r="70">
      <c r="A70" s="37" t="n">
        <v>47</v>
      </c>
      <c r="B70" s="42" t="n">
        <v>47423</v>
      </c>
      <c r="C70" s="39">
        <f>MAX(0,F69)</f>
        <v/>
      </c>
      <c r="D70" s="39">
        <f>MAX(0,C70*$B$8/12)</f>
        <v/>
      </c>
      <c r="E70" s="39">
        <f>MAX(0,MIN(C70,$B$9-D70))</f>
        <v/>
      </c>
      <c r="F70" s="39">
        <f>MAX(0,C70-E70)</f>
        <v/>
      </c>
      <c r="G70" s="37" t="n">
        <v>2029</v>
      </c>
    </row>
    <row r="71">
      <c r="A71" s="37" t="n">
        <v>48</v>
      </c>
      <c r="B71" s="42" t="n">
        <v>47453</v>
      </c>
      <c r="C71" s="39">
        <f>MAX(0,F70)</f>
        <v/>
      </c>
      <c r="D71" s="39">
        <f>MAX(0,C71*$B$8/12)</f>
        <v/>
      </c>
      <c r="E71" s="39">
        <f>MAX(0,MIN(C71,$B$9-D71))</f>
        <v/>
      </c>
      <c r="F71" s="39">
        <f>MAX(0,C71-E71)</f>
        <v/>
      </c>
      <c r="G71" s="37" t="n">
        <v>2029</v>
      </c>
    </row>
    <row r="72">
      <c r="A72" s="37" t="n">
        <v>49</v>
      </c>
      <c r="B72" s="42" t="n">
        <v>47484</v>
      </c>
      <c r="C72" s="39">
        <f>MAX(0,F71)</f>
        <v/>
      </c>
      <c r="D72" s="39">
        <f>MAX(0,C72*$B$8/12)</f>
        <v/>
      </c>
      <c r="E72" s="39">
        <f>MAX(0,MIN(C72,$B$9-D72))</f>
        <v/>
      </c>
      <c r="F72" s="39">
        <f>MAX(0,C72-E72)</f>
        <v/>
      </c>
      <c r="G72" s="37" t="n">
        <v>2030</v>
      </c>
    </row>
    <row r="73">
      <c r="A73" s="37" t="n">
        <v>50</v>
      </c>
      <c r="B73" s="42" t="n">
        <v>47515</v>
      </c>
      <c r="C73" s="39">
        <f>MAX(0,F72)</f>
        <v/>
      </c>
      <c r="D73" s="39">
        <f>MAX(0,C73*$B$8/12)</f>
        <v/>
      </c>
      <c r="E73" s="39">
        <f>MAX(0,MIN(C73,$B$9-D73))</f>
        <v/>
      </c>
      <c r="F73" s="39">
        <f>MAX(0,C73-E73)</f>
        <v/>
      </c>
      <c r="G73" s="37" t="n">
        <v>2030</v>
      </c>
    </row>
    <row r="74">
      <c r="A74" s="37" t="n">
        <v>51</v>
      </c>
      <c r="B74" s="42" t="n">
        <v>47543</v>
      </c>
      <c r="C74" s="39">
        <f>MAX(0,F73)</f>
        <v/>
      </c>
      <c r="D74" s="39">
        <f>MAX(0,C74*$B$8/12)</f>
        <v/>
      </c>
      <c r="E74" s="39">
        <f>MAX(0,MIN(C74,$B$9-D74))</f>
        <v/>
      </c>
      <c r="F74" s="39">
        <f>MAX(0,C74-E74)</f>
        <v/>
      </c>
      <c r="G74" s="37" t="n">
        <v>2030</v>
      </c>
    </row>
    <row r="75">
      <c r="A75" s="37" t="n">
        <v>52</v>
      </c>
      <c r="B75" s="42" t="n">
        <v>47574</v>
      </c>
      <c r="C75" s="39">
        <f>MAX(0,F74)</f>
        <v/>
      </c>
      <c r="D75" s="39">
        <f>MAX(0,C75*$B$8/12)</f>
        <v/>
      </c>
      <c r="E75" s="39">
        <f>MAX(0,MIN(C75,$B$9-D75))</f>
        <v/>
      </c>
      <c r="F75" s="39">
        <f>MAX(0,C75-E75)</f>
        <v/>
      </c>
      <c r="G75" s="37" t="n">
        <v>2030</v>
      </c>
    </row>
    <row r="76">
      <c r="A76" s="37" t="n">
        <v>53</v>
      </c>
      <c r="B76" s="42" t="n">
        <v>47604</v>
      </c>
      <c r="C76" s="39">
        <f>MAX(0,F75)</f>
        <v/>
      </c>
      <c r="D76" s="39">
        <f>MAX(0,C76*$B$8/12)</f>
        <v/>
      </c>
      <c r="E76" s="39">
        <f>MAX(0,MIN(C76,$B$9-D76))</f>
        <v/>
      </c>
      <c r="F76" s="39">
        <f>MAX(0,C76-E76)</f>
        <v/>
      </c>
      <c r="G76" s="37" t="n">
        <v>2030</v>
      </c>
    </row>
    <row r="77">
      <c r="A77" s="37" t="n">
        <v>54</v>
      </c>
      <c r="B77" s="42" t="n">
        <v>47635</v>
      </c>
      <c r="C77" s="39">
        <f>MAX(0,F76)</f>
        <v/>
      </c>
      <c r="D77" s="39">
        <f>MAX(0,C77*$B$8/12)</f>
        <v/>
      </c>
      <c r="E77" s="39">
        <f>MAX(0,MIN(C77,$B$9-D77))</f>
        <v/>
      </c>
      <c r="F77" s="39">
        <f>MAX(0,C77-E77)</f>
        <v/>
      </c>
      <c r="G77" s="37" t="n">
        <v>2030</v>
      </c>
    </row>
    <row r="78">
      <c r="A78" s="37" t="n">
        <v>55</v>
      </c>
      <c r="B78" s="42" t="n">
        <v>47665</v>
      </c>
      <c r="C78" s="39">
        <f>MAX(0,F77)</f>
        <v/>
      </c>
      <c r="D78" s="39">
        <f>MAX(0,C78*$B$8/12)</f>
        <v/>
      </c>
      <c r="E78" s="39">
        <f>MAX(0,MIN(C78,$B$9-D78))</f>
        <v/>
      </c>
      <c r="F78" s="39">
        <f>MAX(0,C78-E78)</f>
        <v/>
      </c>
      <c r="G78" s="37" t="n">
        <v>2030</v>
      </c>
    </row>
    <row r="79">
      <c r="A79" s="37" t="n">
        <v>56</v>
      </c>
      <c r="B79" s="42" t="n">
        <v>47696</v>
      </c>
      <c r="C79" s="39">
        <f>MAX(0,F78)</f>
        <v/>
      </c>
      <c r="D79" s="39">
        <f>MAX(0,C79*$B$8/12)</f>
        <v/>
      </c>
      <c r="E79" s="39">
        <f>MAX(0,MIN(C79,$B$9-D79))</f>
        <v/>
      </c>
      <c r="F79" s="39">
        <f>MAX(0,C79-E79)</f>
        <v/>
      </c>
      <c r="G79" s="37" t="n">
        <v>2030</v>
      </c>
    </row>
    <row r="82">
      <c r="A82" s="2" t="inlineStr">
        <is>
          <t>ANNUAL SUMMARY</t>
        </is>
      </c>
    </row>
    <row r="83">
      <c r="A83" s="40" t="inlineStr">
        <is>
          <t>Year</t>
        </is>
      </c>
      <c r="B83" s="40" t="inlineStr">
        <is>
          <t>Beginning Balance</t>
        </is>
      </c>
      <c r="C83" s="40" t="inlineStr">
        <is>
          <t>Total Interest</t>
        </is>
      </c>
      <c r="D83" s="40" t="inlineStr">
        <is>
          <t>Total Principal</t>
        </is>
      </c>
      <c r="E83" s="40" t="inlineStr">
        <is>
          <t>Ending Balance</t>
        </is>
      </c>
    </row>
    <row r="84">
      <c r="A84" s="37" t="n">
        <v>2026</v>
      </c>
      <c r="B84" s="39">
        <f>C24</f>
        <v/>
      </c>
      <c r="C84" s="39">
        <f>SUM(D24:D35)</f>
        <v/>
      </c>
      <c r="D84" s="39">
        <f>SUM(E24:E35)</f>
        <v/>
      </c>
      <c r="E84" s="39">
        <f>F35</f>
        <v/>
      </c>
    </row>
    <row r="85">
      <c r="A85" s="37" t="n">
        <v>2027</v>
      </c>
      <c r="B85" s="39">
        <f>C36</f>
        <v/>
      </c>
      <c r="C85" s="39">
        <f>SUM(D36:D47)</f>
        <v/>
      </c>
      <c r="D85" s="39">
        <f>SUM(E36:E47)</f>
        <v/>
      </c>
      <c r="E85" s="39">
        <f>F47</f>
        <v/>
      </c>
    </row>
    <row r="86">
      <c r="A86" s="37" t="n">
        <v>2028</v>
      </c>
      <c r="B86" s="39">
        <f>C48</f>
        <v/>
      </c>
      <c r="C86" s="39">
        <f>SUM(D48:D59)</f>
        <v/>
      </c>
      <c r="D86" s="39">
        <f>SUM(E48:E59)</f>
        <v/>
      </c>
      <c r="E86" s="39">
        <f>F59</f>
        <v/>
      </c>
    </row>
    <row r="87">
      <c r="A87" s="37" t="n">
        <v>2029</v>
      </c>
      <c r="B87" s="39">
        <f>C60</f>
        <v/>
      </c>
      <c r="C87" s="39">
        <f>SUM(D60:D71)</f>
        <v/>
      </c>
      <c r="D87" s="39">
        <f>SUM(E60:E71)</f>
        <v/>
      </c>
      <c r="E87" s="39">
        <f>F71</f>
        <v/>
      </c>
    </row>
    <row r="88">
      <c r="A88" s="37" t="n">
        <v>2030</v>
      </c>
      <c r="B88" s="39">
        <f>C72</f>
        <v/>
      </c>
      <c r="C88" s="39">
        <f>SUM(D72:D79)</f>
        <v/>
      </c>
      <c r="D88" s="39">
        <f>SUM(E72:E79)</f>
        <v/>
      </c>
      <c r="E88" s="39">
        <f>F79</f>
        <v/>
      </c>
    </row>
    <row r="91">
      <c r="A91" s="1" t="inlineStr">
        <is>
          <t>CURRENT BALANCE (for DS link):</t>
        </is>
      </c>
      <c r="B91" s="31">
        <f>$B$7</f>
        <v/>
      </c>
    </row>
  </sheetData>
  <mergeCells count="4">
    <mergeCell ref="A1:C1"/>
    <mergeCell ref="A22:G22"/>
    <mergeCell ref="A12:C12"/>
    <mergeCell ref="A82:F82"/>
  </mergeCells>
  <pageMargins left="0.75" right="0.75" top="1" bottom="1" header="0.5" footer="0.5"/>
  <legacyDrawing xmlns:r="http://schemas.openxmlformats.org/officeDocument/2006/relationships" r:id="anysvml"/>
</worksheet>
</file>

<file path=xl/worksheets/sheet51.xml><?xml version="1.0" encoding="utf-8"?>
<worksheet xmlns="http://schemas.openxmlformats.org/spreadsheetml/2006/main">
  <sheetPr>
    <tabColor rgb="00808080"/>
    <outlinePr summaryBelow="1" summaryRight="1"/>
    <pageSetUpPr/>
  </sheetPr>
  <dimension ref="A1:G91"/>
  <sheetViews>
    <sheetView workbookViewId="0">
      <selection activeCell="A1" sqref="A1"/>
    </sheetView>
  </sheetViews>
  <sheetFormatPr baseColWidth="8" defaultRowHeight="15"/>
  <cols>
    <col width="14" customWidth="1" min="1" max="1"/>
    <col width="3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LOAN DETAILS</t>
        </is>
      </c>
    </row>
    <row r="2">
      <c r="A2" t="inlineStr">
        <is>
          <t>Lender:</t>
        </is>
      </c>
      <c r="B2" s="4" t="inlineStr">
        <is>
          <t>CCG - Commercial Credit Group</t>
        </is>
      </c>
    </row>
    <row r="3">
      <c r="A3" t="inlineStr">
        <is>
          <t>Loan Number:</t>
        </is>
      </c>
      <c r="B3" s="4" t="inlineStr">
        <is>
          <t>46874</t>
        </is>
      </c>
    </row>
    <row r="4">
      <c r="A4" t="inlineStr">
        <is>
          <t>Description:</t>
        </is>
      </c>
      <c r="B4" s="4" t="inlineStr">
        <is>
          <t>CCG 6 Trucks 814-819</t>
        </is>
      </c>
    </row>
    <row r="5">
      <c r="A5" t="inlineStr">
        <is>
          <t>Collateral:</t>
        </is>
      </c>
      <c r="B5" s="4" t="inlineStr">
        <is>
          <t>Equipment - Semi Trucks</t>
        </is>
      </c>
    </row>
    <row r="6">
      <c r="A6" t="inlineStr">
        <is>
          <t>Original Balance:</t>
        </is>
      </c>
      <c r="B6" s="26" t="n">
        <v>1128000</v>
      </c>
    </row>
    <row r="7">
      <c r="A7" t="inlineStr">
        <is>
          <t>Current Balance:</t>
        </is>
      </c>
      <c r="B7" s="26" t="n">
        <v>1050561</v>
      </c>
    </row>
    <row r="8">
      <c r="A8" t="inlineStr">
        <is>
          <t>Annual Rate:</t>
        </is>
      </c>
      <c r="B8" s="6" t="n">
        <v>0.105</v>
      </c>
    </row>
    <row r="9">
      <c r="A9" t="inlineStr">
        <is>
          <t>Monthly Payment:</t>
        </is>
      </c>
      <c r="B9" s="26" t="n">
        <v>24291</v>
      </c>
    </row>
    <row r="10">
      <c r="A10" t="inlineStr">
        <is>
          <t>Loan Type:</t>
        </is>
      </c>
      <c r="B10" s="4" t="inlineStr">
        <is>
          <t>AMORTIZING</t>
        </is>
      </c>
    </row>
    <row r="12">
      <c r="A12" s="2" t="inlineStr">
        <is>
          <t>AI ANALYSIS</t>
        </is>
      </c>
    </row>
    <row r="13">
      <c r="A13" s="9" t="inlineStr">
        <is>
          <t>Loan Classification:</t>
        </is>
      </c>
      <c r="B13" s="9" t="inlineStr">
        <is>
          <t>AMORTIZING</t>
        </is>
      </c>
      <c r="C13" s="9" t="n"/>
    </row>
    <row r="14">
      <c r="A14" s="9" t="inlineStr">
        <is>
          <t>Origination Date:</t>
        </is>
      </c>
      <c r="B14" s="34" t="n">
        <v>45971</v>
      </c>
      <c r="C14" s="9" t="n"/>
    </row>
    <row r="15">
      <c r="A15" s="9" t="inlineStr">
        <is>
          <t>Maturity Date:</t>
        </is>
      </c>
      <c r="B15" s="34" t="n">
        <v>47705</v>
      </c>
      <c r="C15" s="9" t="n"/>
    </row>
    <row r="16">
      <c r="A16" s="9" t="inlineStr">
        <is>
          <t>Total Term (months):</t>
        </is>
      </c>
      <c r="B16" s="9" t="n">
        <v>57</v>
      </c>
      <c r="C16" s="9" t="n"/>
    </row>
    <row r="17">
      <c r="A17" s="9" t="inlineStr">
        <is>
          <t>Months Elapsed:</t>
        </is>
      </c>
      <c r="B17" s="9" t="n">
        <v>1</v>
      </c>
      <c r="C17" s="9" t="n"/>
    </row>
    <row r="18">
      <c r="A18" s="9" t="inlineStr">
        <is>
          <t>Months Remaining:</t>
        </is>
      </c>
      <c r="B18" s="9" t="n">
        <v>56</v>
      </c>
      <c r="C18" s="9" t="n"/>
    </row>
    <row r="19">
      <c r="A19" s="9" t="inlineStr">
        <is>
          <t>Monthly Rate:</t>
        </is>
      </c>
      <c r="B19" s="41">
        <f>B8/12</f>
        <v/>
      </c>
      <c r="C19" s="9" t="n"/>
    </row>
    <row r="20">
      <c r="A20" s="9" t="inlineStr">
        <is>
          <t>Source Document:</t>
        </is>
      </c>
      <c r="B20" s="9" t="inlineStr">
        <is>
          <t>Meiborg_Debt_Schedule_202512.xlsx - Loan 54</t>
        </is>
      </c>
      <c r="C20" s="9" t="n"/>
    </row>
    <row r="22">
      <c r="A22" s="2" t="inlineStr">
        <is>
          <t>AMORTIZATION SCHEDULE</t>
        </is>
      </c>
    </row>
    <row r="23">
      <c r="A23" s="36" t="inlineStr">
        <is>
          <t>Month #</t>
        </is>
      </c>
      <c r="B23" s="36" t="inlineStr">
        <is>
          <t>Date</t>
        </is>
      </c>
      <c r="C23" s="36" t="inlineStr">
        <is>
          <t>Opening Balance</t>
        </is>
      </c>
      <c r="D23" s="36" t="inlineStr">
        <is>
          <t>Interest</t>
        </is>
      </c>
      <c r="E23" s="36" t="inlineStr">
        <is>
          <t>Principal</t>
        </is>
      </c>
      <c r="F23" s="36" t="inlineStr">
        <is>
          <t>Closing Balance</t>
        </is>
      </c>
      <c r="G23" s="36" t="inlineStr">
        <is>
          <t>Year</t>
        </is>
      </c>
    </row>
    <row r="24">
      <c r="A24" s="37" t="n">
        <v>1</v>
      </c>
      <c r="B24" s="42" t="n">
        <v>46023</v>
      </c>
      <c r="C24" s="39">
        <f>$B$7</f>
        <v/>
      </c>
      <c r="D24" s="39">
        <f>MAX(0,C24*$B$8/12)</f>
        <v/>
      </c>
      <c r="E24" s="39">
        <f>MAX(0,MIN(C24,$B$9-D24))</f>
        <v/>
      </c>
      <c r="F24" s="39">
        <f>MAX(0,C24-E24)</f>
        <v/>
      </c>
      <c r="G24" s="37" t="n">
        <v>2026</v>
      </c>
    </row>
    <row r="25">
      <c r="A25" s="37" t="n">
        <v>2</v>
      </c>
      <c r="B25" s="42" t="n">
        <v>46054</v>
      </c>
      <c r="C25" s="39">
        <f>MAX(0,F24)</f>
        <v/>
      </c>
      <c r="D25" s="39">
        <f>MAX(0,C25*$B$8/12)</f>
        <v/>
      </c>
      <c r="E25" s="39">
        <f>MAX(0,MIN(C25,$B$9-D25))</f>
        <v/>
      </c>
      <c r="F25" s="39">
        <f>MAX(0,C25-E25)</f>
        <v/>
      </c>
      <c r="G25" s="37" t="n">
        <v>2026</v>
      </c>
    </row>
    <row r="26">
      <c r="A26" s="37" t="n">
        <v>3</v>
      </c>
      <c r="B26" s="42" t="n">
        <v>46082</v>
      </c>
      <c r="C26" s="39">
        <f>MAX(0,F25)</f>
        <v/>
      </c>
      <c r="D26" s="39">
        <f>MAX(0,C26*$B$8/12)</f>
        <v/>
      </c>
      <c r="E26" s="39">
        <f>MAX(0,MIN(C26,$B$9-D26))</f>
        <v/>
      </c>
      <c r="F26" s="39">
        <f>MAX(0,C26-E26)</f>
        <v/>
      </c>
      <c r="G26" s="37" t="n">
        <v>2026</v>
      </c>
    </row>
    <row r="27">
      <c r="A27" s="37" t="n">
        <v>4</v>
      </c>
      <c r="B27" s="42" t="n">
        <v>46113</v>
      </c>
      <c r="C27" s="39">
        <f>MAX(0,F26)</f>
        <v/>
      </c>
      <c r="D27" s="39">
        <f>MAX(0,C27*$B$8/12)</f>
        <v/>
      </c>
      <c r="E27" s="39">
        <f>MAX(0,MIN(C27,$B$9-D27))</f>
        <v/>
      </c>
      <c r="F27" s="39">
        <f>MAX(0,C27-E27)</f>
        <v/>
      </c>
      <c r="G27" s="37" t="n">
        <v>2026</v>
      </c>
    </row>
    <row r="28">
      <c r="A28" s="37" t="n">
        <v>5</v>
      </c>
      <c r="B28" s="42" t="n">
        <v>46143</v>
      </c>
      <c r="C28" s="39">
        <f>MAX(0,F27)</f>
        <v/>
      </c>
      <c r="D28" s="39">
        <f>MAX(0,C28*$B$8/12)</f>
        <v/>
      </c>
      <c r="E28" s="39">
        <f>MAX(0,MIN(C28,$B$9-D28))</f>
        <v/>
      </c>
      <c r="F28" s="39">
        <f>MAX(0,C28-E28)</f>
        <v/>
      </c>
      <c r="G28" s="37" t="n">
        <v>2026</v>
      </c>
    </row>
    <row r="29">
      <c r="A29" s="37" t="n">
        <v>6</v>
      </c>
      <c r="B29" s="42" t="n">
        <v>46174</v>
      </c>
      <c r="C29" s="39">
        <f>MAX(0,F28)</f>
        <v/>
      </c>
      <c r="D29" s="39">
        <f>MAX(0,C29*$B$8/12)</f>
        <v/>
      </c>
      <c r="E29" s="39">
        <f>MAX(0,MIN(C29,$B$9-D29))</f>
        <v/>
      </c>
      <c r="F29" s="39">
        <f>MAX(0,C29-E29)</f>
        <v/>
      </c>
      <c r="G29" s="37" t="n">
        <v>2026</v>
      </c>
    </row>
    <row r="30">
      <c r="A30" s="37" t="n">
        <v>7</v>
      </c>
      <c r="B30" s="42" t="n">
        <v>46204</v>
      </c>
      <c r="C30" s="39">
        <f>MAX(0,F29)</f>
        <v/>
      </c>
      <c r="D30" s="39">
        <f>MAX(0,C30*$B$8/12)</f>
        <v/>
      </c>
      <c r="E30" s="39">
        <f>MAX(0,MIN(C30,$B$9-D30))</f>
        <v/>
      </c>
      <c r="F30" s="39">
        <f>MAX(0,C30-E30)</f>
        <v/>
      </c>
      <c r="G30" s="37" t="n">
        <v>2026</v>
      </c>
    </row>
    <row r="31">
      <c r="A31" s="37" t="n">
        <v>8</v>
      </c>
      <c r="B31" s="42" t="n">
        <v>46235</v>
      </c>
      <c r="C31" s="39">
        <f>MAX(0,F30)</f>
        <v/>
      </c>
      <c r="D31" s="39">
        <f>MAX(0,C31*$B$8/12)</f>
        <v/>
      </c>
      <c r="E31" s="39">
        <f>MAX(0,MIN(C31,$B$9-D31))</f>
        <v/>
      </c>
      <c r="F31" s="39">
        <f>MAX(0,C31-E31)</f>
        <v/>
      </c>
      <c r="G31" s="37" t="n">
        <v>2026</v>
      </c>
    </row>
    <row r="32">
      <c r="A32" s="37" t="n">
        <v>9</v>
      </c>
      <c r="B32" s="42" t="n">
        <v>46266</v>
      </c>
      <c r="C32" s="39">
        <f>MAX(0,F31)</f>
        <v/>
      </c>
      <c r="D32" s="39">
        <f>MAX(0,C32*$B$8/12)</f>
        <v/>
      </c>
      <c r="E32" s="39">
        <f>MAX(0,MIN(C32,$B$9-D32))</f>
        <v/>
      </c>
      <c r="F32" s="39">
        <f>MAX(0,C32-E32)</f>
        <v/>
      </c>
      <c r="G32" s="37" t="n">
        <v>2026</v>
      </c>
    </row>
    <row r="33">
      <c r="A33" s="37" t="n">
        <v>10</v>
      </c>
      <c r="B33" s="42" t="n">
        <v>46296</v>
      </c>
      <c r="C33" s="39">
        <f>MAX(0,F32)</f>
        <v/>
      </c>
      <c r="D33" s="39">
        <f>MAX(0,C33*$B$8/12)</f>
        <v/>
      </c>
      <c r="E33" s="39">
        <f>MAX(0,MIN(C33,$B$9-D33))</f>
        <v/>
      </c>
      <c r="F33" s="39">
        <f>MAX(0,C33-E33)</f>
        <v/>
      </c>
      <c r="G33" s="37" t="n">
        <v>2026</v>
      </c>
    </row>
    <row r="34">
      <c r="A34" s="37" t="n">
        <v>11</v>
      </c>
      <c r="B34" s="42" t="n">
        <v>46327</v>
      </c>
      <c r="C34" s="39">
        <f>MAX(0,F33)</f>
        <v/>
      </c>
      <c r="D34" s="39">
        <f>MAX(0,C34*$B$8/12)</f>
        <v/>
      </c>
      <c r="E34" s="39">
        <f>MAX(0,MIN(C34,$B$9-D34))</f>
        <v/>
      </c>
      <c r="F34" s="39">
        <f>MAX(0,C34-E34)</f>
        <v/>
      </c>
      <c r="G34" s="37" t="n">
        <v>2026</v>
      </c>
    </row>
    <row r="35">
      <c r="A35" s="37" t="n">
        <v>12</v>
      </c>
      <c r="B35" s="42" t="n">
        <v>46357</v>
      </c>
      <c r="C35" s="39">
        <f>MAX(0,F34)</f>
        <v/>
      </c>
      <c r="D35" s="39">
        <f>MAX(0,C35*$B$8/12)</f>
        <v/>
      </c>
      <c r="E35" s="39">
        <f>MAX(0,MIN(C35,$B$9-D35))</f>
        <v/>
      </c>
      <c r="F35" s="39">
        <f>MAX(0,C35-E35)</f>
        <v/>
      </c>
      <c r="G35" s="37" t="n">
        <v>2026</v>
      </c>
    </row>
    <row r="36">
      <c r="A36" s="37" t="n">
        <v>13</v>
      </c>
      <c r="B36" s="42" t="n">
        <v>46388</v>
      </c>
      <c r="C36" s="39">
        <f>MAX(0,F35)</f>
        <v/>
      </c>
      <c r="D36" s="39">
        <f>MAX(0,C36*$B$8/12)</f>
        <v/>
      </c>
      <c r="E36" s="39">
        <f>MAX(0,MIN(C36,$B$9-D36))</f>
        <v/>
      </c>
      <c r="F36" s="39">
        <f>MAX(0,C36-E36)</f>
        <v/>
      </c>
      <c r="G36" s="37" t="n">
        <v>2027</v>
      </c>
    </row>
    <row r="37">
      <c r="A37" s="37" t="n">
        <v>14</v>
      </c>
      <c r="B37" s="42" t="n">
        <v>46419</v>
      </c>
      <c r="C37" s="39">
        <f>MAX(0,F36)</f>
        <v/>
      </c>
      <c r="D37" s="39">
        <f>MAX(0,C37*$B$8/12)</f>
        <v/>
      </c>
      <c r="E37" s="39">
        <f>MAX(0,MIN(C37,$B$9-D37))</f>
        <v/>
      </c>
      <c r="F37" s="39">
        <f>MAX(0,C37-E37)</f>
        <v/>
      </c>
      <c r="G37" s="37" t="n">
        <v>2027</v>
      </c>
    </row>
    <row r="38">
      <c r="A38" s="37" t="n">
        <v>15</v>
      </c>
      <c r="B38" s="42" t="n">
        <v>46447</v>
      </c>
      <c r="C38" s="39">
        <f>MAX(0,F37)</f>
        <v/>
      </c>
      <c r="D38" s="39">
        <f>MAX(0,C38*$B$8/12)</f>
        <v/>
      </c>
      <c r="E38" s="39">
        <f>MAX(0,MIN(C38,$B$9-D38))</f>
        <v/>
      </c>
      <c r="F38" s="39">
        <f>MAX(0,C38-E38)</f>
        <v/>
      </c>
      <c r="G38" s="37" t="n">
        <v>2027</v>
      </c>
    </row>
    <row r="39">
      <c r="A39" s="37" t="n">
        <v>16</v>
      </c>
      <c r="B39" s="42" t="n">
        <v>46478</v>
      </c>
      <c r="C39" s="39">
        <f>MAX(0,F38)</f>
        <v/>
      </c>
      <c r="D39" s="39">
        <f>MAX(0,C39*$B$8/12)</f>
        <v/>
      </c>
      <c r="E39" s="39">
        <f>MAX(0,MIN(C39,$B$9-D39))</f>
        <v/>
      </c>
      <c r="F39" s="39">
        <f>MAX(0,C39-E39)</f>
        <v/>
      </c>
      <c r="G39" s="37" t="n">
        <v>2027</v>
      </c>
    </row>
    <row r="40">
      <c r="A40" s="37" t="n">
        <v>17</v>
      </c>
      <c r="B40" s="42" t="n">
        <v>46508</v>
      </c>
      <c r="C40" s="39">
        <f>MAX(0,F39)</f>
        <v/>
      </c>
      <c r="D40" s="39">
        <f>MAX(0,C40*$B$8/12)</f>
        <v/>
      </c>
      <c r="E40" s="39">
        <f>MAX(0,MIN(C40,$B$9-D40))</f>
        <v/>
      </c>
      <c r="F40" s="39">
        <f>MAX(0,C40-E40)</f>
        <v/>
      </c>
      <c r="G40" s="37" t="n">
        <v>2027</v>
      </c>
    </row>
    <row r="41">
      <c r="A41" s="37" t="n">
        <v>18</v>
      </c>
      <c r="B41" s="42" t="n">
        <v>46539</v>
      </c>
      <c r="C41" s="39">
        <f>MAX(0,F40)</f>
        <v/>
      </c>
      <c r="D41" s="39">
        <f>MAX(0,C41*$B$8/12)</f>
        <v/>
      </c>
      <c r="E41" s="39">
        <f>MAX(0,MIN(C41,$B$9-D41))</f>
        <v/>
      </c>
      <c r="F41" s="39">
        <f>MAX(0,C41-E41)</f>
        <v/>
      </c>
      <c r="G41" s="37" t="n">
        <v>2027</v>
      </c>
    </row>
    <row r="42">
      <c r="A42" s="37" t="n">
        <v>19</v>
      </c>
      <c r="B42" s="42" t="n">
        <v>46569</v>
      </c>
      <c r="C42" s="39">
        <f>MAX(0,F41)</f>
        <v/>
      </c>
      <c r="D42" s="39">
        <f>MAX(0,C42*$B$8/12)</f>
        <v/>
      </c>
      <c r="E42" s="39">
        <f>MAX(0,MIN(C42,$B$9-D42))</f>
        <v/>
      </c>
      <c r="F42" s="39">
        <f>MAX(0,C42-E42)</f>
        <v/>
      </c>
      <c r="G42" s="37" t="n">
        <v>2027</v>
      </c>
    </row>
    <row r="43">
      <c r="A43" s="37" t="n">
        <v>20</v>
      </c>
      <c r="B43" s="42" t="n">
        <v>46600</v>
      </c>
      <c r="C43" s="39">
        <f>MAX(0,F42)</f>
        <v/>
      </c>
      <c r="D43" s="39">
        <f>MAX(0,C43*$B$8/12)</f>
        <v/>
      </c>
      <c r="E43" s="39">
        <f>MAX(0,MIN(C43,$B$9-D43))</f>
        <v/>
      </c>
      <c r="F43" s="39">
        <f>MAX(0,C43-E43)</f>
        <v/>
      </c>
      <c r="G43" s="37" t="n">
        <v>2027</v>
      </c>
    </row>
    <row r="44">
      <c r="A44" s="37" t="n">
        <v>21</v>
      </c>
      <c r="B44" s="42" t="n">
        <v>46631</v>
      </c>
      <c r="C44" s="39">
        <f>MAX(0,F43)</f>
        <v/>
      </c>
      <c r="D44" s="39">
        <f>MAX(0,C44*$B$8/12)</f>
        <v/>
      </c>
      <c r="E44" s="39">
        <f>MAX(0,MIN(C44,$B$9-D44))</f>
        <v/>
      </c>
      <c r="F44" s="39">
        <f>MAX(0,C44-E44)</f>
        <v/>
      </c>
      <c r="G44" s="37" t="n">
        <v>2027</v>
      </c>
    </row>
    <row r="45">
      <c r="A45" s="37" t="n">
        <v>22</v>
      </c>
      <c r="B45" s="42" t="n">
        <v>46661</v>
      </c>
      <c r="C45" s="39">
        <f>MAX(0,F44)</f>
        <v/>
      </c>
      <c r="D45" s="39">
        <f>MAX(0,C45*$B$8/12)</f>
        <v/>
      </c>
      <c r="E45" s="39">
        <f>MAX(0,MIN(C45,$B$9-D45))</f>
        <v/>
      </c>
      <c r="F45" s="39">
        <f>MAX(0,C45-E45)</f>
        <v/>
      </c>
      <c r="G45" s="37" t="n">
        <v>2027</v>
      </c>
    </row>
    <row r="46">
      <c r="A46" s="37" t="n">
        <v>23</v>
      </c>
      <c r="B46" s="42" t="n">
        <v>46692</v>
      </c>
      <c r="C46" s="39">
        <f>MAX(0,F45)</f>
        <v/>
      </c>
      <c r="D46" s="39">
        <f>MAX(0,C46*$B$8/12)</f>
        <v/>
      </c>
      <c r="E46" s="39">
        <f>MAX(0,MIN(C46,$B$9-D46))</f>
        <v/>
      </c>
      <c r="F46" s="39">
        <f>MAX(0,C46-E46)</f>
        <v/>
      </c>
      <c r="G46" s="37" t="n">
        <v>2027</v>
      </c>
    </row>
    <row r="47">
      <c r="A47" s="37" t="n">
        <v>24</v>
      </c>
      <c r="B47" s="42" t="n">
        <v>46722</v>
      </c>
      <c r="C47" s="39">
        <f>MAX(0,F46)</f>
        <v/>
      </c>
      <c r="D47" s="39">
        <f>MAX(0,C47*$B$8/12)</f>
        <v/>
      </c>
      <c r="E47" s="39">
        <f>MAX(0,MIN(C47,$B$9-D47))</f>
        <v/>
      </c>
      <c r="F47" s="39">
        <f>MAX(0,C47-E47)</f>
        <v/>
      </c>
      <c r="G47" s="37" t="n">
        <v>2027</v>
      </c>
    </row>
    <row r="48">
      <c r="A48" s="37" t="n">
        <v>25</v>
      </c>
      <c r="B48" s="42" t="n">
        <v>46753</v>
      </c>
      <c r="C48" s="39">
        <f>MAX(0,F47)</f>
        <v/>
      </c>
      <c r="D48" s="39">
        <f>MAX(0,C48*$B$8/12)</f>
        <v/>
      </c>
      <c r="E48" s="39">
        <f>MAX(0,MIN(C48,$B$9-D48))</f>
        <v/>
      </c>
      <c r="F48" s="39">
        <f>MAX(0,C48-E48)</f>
        <v/>
      </c>
      <c r="G48" s="37" t="n">
        <v>2028</v>
      </c>
    </row>
    <row r="49">
      <c r="A49" s="37" t="n">
        <v>26</v>
      </c>
      <c r="B49" s="42" t="n">
        <v>46784</v>
      </c>
      <c r="C49" s="39">
        <f>MAX(0,F48)</f>
        <v/>
      </c>
      <c r="D49" s="39">
        <f>MAX(0,C49*$B$8/12)</f>
        <v/>
      </c>
      <c r="E49" s="39">
        <f>MAX(0,MIN(C49,$B$9-D49))</f>
        <v/>
      </c>
      <c r="F49" s="39">
        <f>MAX(0,C49-E49)</f>
        <v/>
      </c>
      <c r="G49" s="37" t="n">
        <v>2028</v>
      </c>
    </row>
    <row r="50">
      <c r="A50" s="37" t="n">
        <v>27</v>
      </c>
      <c r="B50" s="42" t="n">
        <v>46813</v>
      </c>
      <c r="C50" s="39">
        <f>MAX(0,F49)</f>
        <v/>
      </c>
      <c r="D50" s="39">
        <f>MAX(0,C50*$B$8/12)</f>
        <v/>
      </c>
      <c r="E50" s="39">
        <f>MAX(0,MIN(C50,$B$9-D50))</f>
        <v/>
      </c>
      <c r="F50" s="39">
        <f>MAX(0,C50-E50)</f>
        <v/>
      </c>
      <c r="G50" s="37" t="n">
        <v>2028</v>
      </c>
    </row>
    <row r="51">
      <c r="A51" s="37" t="n">
        <v>28</v>
      </c>
      <c r="B51" s="42" t="n">
        <v>46844</v>
      </c>
      <c r="C51" s="39">
        <f>MAX(0,F50)</f>
        <v/>
      </c>
      <c r="D51" s="39">
        <f>MAX(0,C51*$B$8/12)</f>
        <v/>
      </c>
      <c r="E51" s="39">
        <f>MAX(0,MIN(C51,$B$9-D51))</f>
        <v/>
      </c>
      <c r="F51" s="39">
        <f>MAX(0,C51-E51)</f>
        <v/>
      </c>
      <c r="G51" s="37" t="n">
        <v>2028</v>
      </c>
    </row>
    <row r="52">
      <c r="A52" s="37" t="n">
        <v>29</v>
      </c>
      <c r="B52" s="42" t="n">
        <v>46874</v>
      </c>
      <c r="C52" s="39">
        <f>MAX(0,F51)</f>
        <v/>
      </c>
      <c r="D52" s="39">
        <f>MAX(0,C52*$B$8/12)</f>
        <v/>
      </c>
      <c r="E52" s="39">
        <f>MAX(0,MIN(C52,$B$9-D52))</f>
        <v/>
      </c>
      <c r="F52" s="39">
        <f>MAX(0,C52-E52)</f>
        <v/>
      </c>
      <c r="G52" s="37" t="n">
        <v>2028</v>
      </c>
    </row>
    <row r="53">
      <c r="A53" s="37" t="n">
        <v>30</v>
      </c>
      <c r="B53" s="42" t="n">
        <v>46905</v>
      </c>
      <c r="C53" s="39">
        <f>MAX(0,F52)</f>
        <v/>
      </c>
      <c r="D53" s="39">
        <f>MAX(0,C53*$B$8/12)</f>
        <v/>
      </c>
      <c r="E53" s="39">
        <f>MAX(0,MIN(C53,$B$9-D53))</f>
        <v/>
      </c>
      <c r="F53" s="39">
        <f>MAX(0,C53-E53)</f>
        <v/>
      </c>
      <c r="G53" s="37" t="n">
        <v>2028</v>
      </c>
    </row>
    <row r="54">
      <c r="A54" s="37" t="n">
        <v>31</v>
      </c>
      <c r="B54" s="42" t="n">
        <v>46935</v>
      </c>
      <c r="C54" s="39">
        <f>MAX(0,F53)</f>
        <v/>
      </c>
      <c r="D54" s="39">
        <f>MAX(0,C54*$B$8/12)</f>
        <v/>
      </c>
      <c r="E54" s="39">
        <f>MAX(0,MIN(C54,$B$9-D54))</f>
        <v/>
      </c>
      <c r="F54" s="39">
        <f>MAX(0,C54-E54)</f>
        <v/>
      </c>
      <c r="G54" s="37" t="n">
        <v>2028</v>
      </c>
    </row>
    <row r="55">
      <c r="A55" s="37" t="n">
        <v>32</v>
      </c>
      <c r="B55" s="42" t="n">
        <v>46966</v>
      </c>
      <c r="C55" s="39">
        <f>MAX(0,F54)</f>
        <v/>
      </c>
      <c r="D55" s="39">
        <f>MAX(0,C55*$B$8/12)</f>
        <v/>
      </c>
      <c r="E55" s="39">
        <f>MAX(0,MIN(C55,$B$9-D55))</f>
        <v/>
      </c>
      <c r="F55" s="39">
        <f>MAX(0,C55-E55)</f>
        <v/>
      </c>
      <c r="G55" s="37" t="n">
        <v>2028</v>
      </c>
    </row>
    <row r="56">
      <c r="A56" s="37" t="n">
        <v>33</v>
      </c>
      <c r="B56" s="42" t="n">
        <v>46997</v>
      </c>
      <c r="C56" s="39">
        <f>MAX(0,F55)</f>
        <v/>
      </c>
      <c r="D56" s="39">
        <f>MAX(0,C56*$B$8/12)</f>
        <v/>
      </c>
      <c r="E56" s="39">
        <f>MAX(0,MIN(C56,$B$9-D56))</f>
        <v/>
      </c>
      <c r="F56" s="39">
        <f>MAX(0,C56-E56)</f>
        <v/>
      </c>
      <c r="G56" s="37" t="n">
        <v>2028</v>
      </c>
    </row>
    <row r="57">
      <c r="A57" s="37" t="n">
        <v>34</v>
      </c>
      <c r="B57" s="42" t="n">
        <v>47027</v>
      </c>
      <c r="C57" s="39">
        <f>MAX(0,F56)</f>
        <v/>
      </c>
      <c r="D57" s="39">
        <f>MAX(0,C57*$B$8/12)</f>
        <v/>
      </c>
      <c r="E57" s="39">
        <f>MAX(0,MIN(C57,$B$9-D57))</f>
        <v/>
      </c>
      <c r="F57" s="39">
        <f>MAX(0,C57-E57)</f>
        <v/>
      </c>
      <c r="G57" s="37" t="n">
        <v>2028</v>
      </c>
    </row>
    <row r="58">
      <c r="A58" s="37" t="n">
        <v>35</v>
      </c>
      <c r="B58" s="42" t="n">
        <v>47058</v>
      </c>
      <c r="C58" s="39">
        <f>MAX(0,F57)</f>
        <v/>
      </c>
      <c r="D58" s="39">
        <f>MAX(0,C58*$B$8/12)</f>
        <v/>
      </c>
      <c r="E58" s="39">
        <f>MAX(0,MIN(C58,$B$9-D58))</f>
        <v/>
      </c>
      <c r="F58" s="39">
        <f>MAX(0,C58-E58)</f>
        <v/>
      </c>
      <c r="G58" s="37" t="n">
        <v>2028</v>
      </c>
    </row>
    <row r="59">
      <c r="A59" s="37" t="n">
        <v>36</v>
      </c>
      <c r="B59" s="42" t="n">
        <v>47088</v>
      </c>
      <c r="C59" s="39">
        <f>MAX(0,F58)</f>
        <v/>
      </c>
      <c r="D59" s="39">
        <f>MAX(0,C59*$B$8/12)</f>
        <v/>
      </c>
      <c r="E59" s="39">
        <f>MAX(0,MIN(C59,$B$9-D59))</f>
        <v/>
      </c>
      <c r="F59" s="39">
        <f>MAX(0,C59-E59)</f>
        <v/>
      </c>
      <c r="G59" s="37" t="n">
        <v>2028</v>
      </c>
    </row>
    <row r="60">
      <c r="A60" s="37" t="n">
        <v>37</v>
      </c>
      <c r="B60" s="42" t="n">
        <v>47119</v>
      </c>
      <c r="C60" s="39">
        <f>MAX(0,F59)</f>
        <v/>
      </c>
      <c r="D60" s="39">
        <f>MAX(0,C60*$B$8/12)</f>
        <v/>
      </c>
      <c r="E60" s="39">
        <f>MAX(0,MIN(C60,$B$9-D60))</f>
        <v/>
      </c>
      <c r="F60" s="39">
        <f>MAX(0,C60-E60)</f>
        <v/>
      </c>
      <c r="G60" s="37" t="n">
        <v>2029</v>
      </c>
    </row>
    <row r="61">
      <c r="A61" s="37" t="n">
        <v>38</v>
      </c>
      <c r="B61" s="42" t="n">
        <v>47150</v>
      </c>
      <c r="C61" s="39">
        <f>MAX(0,F60)</f>
        <v/>
      </c>
      <c r="D61" s="39">
        <f>MAX(0,C61*$B$8/12)</f>
        <v/>
      </c>
      <c r="E61" s="39">
        <f>MAX(0,MIN(C61,$B$9-D61))</f>
        <v/>
      </c>
      <c r="F61" s="39">
        <f>MAX(0,C61-E61)</f>
        <v/>
      </c>
      <c r="G61" s="37" t="n">
        <v>2029</v>
      </c>
    </row>
    <row r="62">
      <c r="A62" s="37" t="n">
        <v>39</v>
      </c>
      <c r="B62" s="42" t="n">
        <v>47178</v>
      </c>
      <c r="C62" s="39">
        <f>MAX(0,F61)</f>
        <v/>
      </c>
      <c r="D62" s="39">
        <f>MAX(0,C62*$B$8/12)</f>
        <v/>
      </c>
      <c r="E62" s="39">
        <f>MAX(0,MIN(C62,$B$9-D62))</f>
        <v/>
      </c>
      <c r="F62" s="39">
        <f>MAX(0,C62-E62)</f>
        <v/>
      </c>
      <c r="G62" s="37" t="n">
        <v>2029</v>
      </c>
    </row>
    <row r="63">
      <c r="A63" s="37" t="n">
        <v>40</v>
      </c>
      <c r="B63" s="42" t="n">
        <v>47209</v>
      </c>
      <c r="C63" s="39">
        <f>MAX(0,F62)</f>
        <v/>
      </c>
      <c r="D63" s="39">
        <f>MAX(0,C63*$B$8/12)</f>
        <v/>
      </c>
      <c r="E63" s="39">
        <f>MAX(0,MIN(C63,$B$9-D63))</f>
        <v/>
      </c>
      <c r="F63" s="39">
        <f>MAX(0,C63-E63)</f>
        <v/>
      </c>
      <c r="G63" s="37" t="n">
        <v>2029</v>
      </c>
    </row>
    <row r="64">
      <c r="A64" s="37" t="n">
        <v>41</v>
      </c>
      <c r="B64" s="42" t="n">
        <v>47239</v>
      </c>
      <c r="C64" s="39">
        <f>MAX(0,F63)</f>
        <v/>
      </c>
      <c r="D64" s="39">
        <f>MAX(0,C64*$B$8/12)</f>
        <v/>
      </c>
      <c r="E64" s="39">
        <f>MAX(0,MIN(C64,$B$9-D64))</f>
        <v/>
      </c>
      <c r="F64" s="39">
        <f>MAX(0,C64-E64)</f>
        <v/>
      </c>
      <c r="G64" s="37" t="n">
        <v>2029</v>
      </c>
    </row>
    <row r="65">
      <c r="A65" s="37" t="n">
        <v>42</v>
      </c>
      <c r="B65" s="42" t="n">
        <v>47270</v>
      </c>
      <c r="C65" s="39">
        <f>MAX(0,F64)</f>
        <v/>
      </c>
      <c r="D65" s="39">
        <f>MAX(0,C65*$B$8/12)</f>
        <v/>
      </c>
      <c r="E65" s="39">
        <f>MAX(0,MIN(C65,$B$9-D65))</f>
        <v/>
      </c>
      <c r="F65" s="39">
        <f>MAX(0,C65-E65)</f>
        <v/>
      </c>
      <c r="G65" s="37" t="n">
        <v>2029</v>
      </c>
    </row>
    <row r="66">
      <c r="A66" s="37" t="n">
        <v>43</v>
      </c>
      <c r="B66" s="42" t="n">
        <v>47300</v>
      </c>
      <c r="C66" s="39">
        <f>MAX(0,F65)</f>
        <v/>
      </c>
      <c r="D66" s="39">
        <f>MAX(0,C66*$B$8/12)</f>
        <v/>
      </c>
      <c r="E66" s="39">
        <f>MAX(0,MIN(C66,$B$9-D66))</f>
        <v/>
      </c>
      <c r="F66" s="39">
        <f>MAX(0,C66-E66)</f>
        <v/>
      </c>
      <c r="G66" s="37" t="n">
        <v>2029</v>
      </c>
    </row>
    <row r="67">
      <c r="A67" s="37" t="n">
        <v>44</v>
      </c>
      <c r="B67" s="42" t="n">
        <v>47331</v>
      </c>
      <c r="C67" s="39">
        <f>MAX(0,F66)</f>
        <v/>
      </c>
      <c r="D67" s="39">
        <f>MAX(0,C67*$B$8/12)</f>
        <v/>
      </c>
      <c r="E67" s="39">
        <f>MAX(0,MIN(C67,$B$9-D67))</f>
        <v/>
      </c>
      <c r="F67" s="39">
        <f>MAX(0,C67-E67)</f>
        <v/>
      </c>
      <c r="G67" s="37" t="n">
        <v>2029</v>
      </c>
    </row>
    <row r="68">
      <c r="A68" s="37" t="n">
        <v>45</v>
      </c>
      <c r="B68" s="42" t="n">
        <v>47362</v>
      </c>
      <c r="C68" s="39">
        <f>MAX(0,F67)</f>
        <v/>
      </c>
      <c r="D68" s="39">
        <f>MAX(0,C68*$B$8/12)</f>
        <v/>
      </c>
      <c r="E68" s="39">
        <f>MAX(0,MIN(C68,$B$9-D68))</f>
        <v/>
      </c>
      <c r="F68" s="39">
        <f>MAX(0,C68-E68)</f>
        <v/>
      </c>
      <c r="G68" s="37" t="n">
        <v>2029</v>
      </c>
    </row>
    <row r="69">
      <c r="A69" s="37" t="n">
        <v>46</v>
      </c>
      <c r="B69" s="42" t="n">
        <v>47392</v>
      </c>
      <c r="C69" s="39">
        <f>MAX(0,F68)</f>
        <v/>
      </c>
      <c r="D69" s="39">
        <f>MAX(0,C69*$B$8/12)</f>
        <v/>
      </c>
      <c r="E69" s="39">
        <f>MAX(0,MIN(C69,$B$9-D69))</f>
        <v/>
      </c>
      <c r="F69" s="39">
        <f>MAX(0,C69-E69)</f>
        <v/>
      </c>
      <c r="G69" s="37" t="n">
        <v>2029</v>
      </c>
    </row>
    <row r="70">
      <c r="A70" s="37" t="n">
        <v>47</v>
      </c>
      <c r="B70" s="42" t="n">
        <v>47423</v>
      </c>
      <c r="C70" s="39">
        <f>MAX(0,F69)</f>
        <v/>
      </c>
      <c r="D70" s="39">
        <f>MAX(0,C70*$B$8/12)</f>
        <v/>
      </c>
      <c r="E70" s="39">
        <f>MAX(0,MIN(C70,$B$9-D70))</f>
        <v/>
      </c>
      <c r="F70" s="39">
        <f>MAX(0,C70-E70)</f>
        <v/>
      </c>
      <c r="G70" s="37" t="n">
        <v>2029</v>
      </c>
    </row>
    <row r="71">
      <c r="A71" s="37" t="n">
        <v>48</v>
      </c>
      <c r="B71" s="42" t="n">
        <v>47453</v>
      </c>
      <c r="C71" s="39">
        <f>MAX(0,F70)</f>
        <v/>
      </c>
      <c r="D71" s="39">
        <f>MAX(0,C71*$B$8/12)</f>
        <v/>
      </c>
      <c r="E71" s="39">
        <f>MAX(0,MIN(C71,$B$9-D71))</f>
        <v/>
      </c>
      <c r="F71" s="39">
        <f>MAX(0,C71-E71)</f>
        <v/>
      </c>
      <c r="G71" s="37" t="n">
        <v>2029</v>
      </c>
    </row>
    <row r="72">
      <c r="A72" s="37" t="n">
        <v>49</v>
      </c>
      <c r="B72" s="42" t="n">
        <v>47484</v>
      </c>
      <c r="C72" s="39">
        <f>MAX(0,F71)</f>
        <v/>
      </c>
      <c r="D72" s="39">
        <f>MAX(0,C72*$B$8/12)</f>
        <v/>
      </c>
      <c r="E72" s="39">
        <f>MAX(0,MIN(C72,$B$9-D72))</f>
        <v/>
      </c>
      <c r="F72" s="39">
        <f>MAX(0,C72-E72)</f>
        <v/>
      </c>
      <c r="G72" s="37" t="n">
        <v>2030</v>
      </c>
    </row>
    <row r="73">
      <c r="A73" s="37" t="n">
        <v>50</v>
      </c>
      <c r="B73" s="42" t="n">
        <v>47515</v>
      </c>
      <c r="C73" s="39">
        <f>MAX(0,F72)</f>
        <v/>
      </c>
      <c r="D73" s="39">
        <f>MAX(0,C73*$B$8/12)</f>
        <v/>
      </c>
      <c r="E73" s="39">
        <f>MAX(0,MIN(C73,$B$9-D73))</f>
        <v/>
      </c>
      <c r="F73" s="39">
        <f>MAX(0,C73-E73)</f>
        <v/>
      </c>
      <c r="G73" s="37" t="n">
        <v>2030</v>
      </c>
    </row>
    <row r="74">
      <c r="A74" s="37" t="n">
        <v>51</v>
      </c>
      <c r="B74" s="42" t="n">
        <v>47543</v>
      </c>
      <c r="C74" s="39">
        <f>MAX(0,F73)</f>
        <v/>
      </c>
      <c r="D74" s="39">
        <f>MAX(0,C74*$B$8/12)</f>
        <v/>
      </c>
      <c r="E74" s="39">
        <f>MAX(0,MIN(C74,$B$9-D74))</f>
        <v/>
      </c>
      <c r="F74" s="39">
        <f>MAX(0,C74-E74)</f>
        <v/>
      </c>
      <c r="G74" s="37" t="n">
        <v>2030</v>
      </c>
    </row>
    <row r="75">
      <c r="A75" s="37" t="n">
        <v>52</v>
      </c>
      <c r="B75" s="42" t="n">
        <v>47574</v>
      </c>
      <c r="C75" s="39">
        <f>MAX(0,F74)</f>
        <v/>
      </c>
      <c r="D75" s="39">
        <f>MAX(0,C75*$B$8/12)</f>
        <v/>
      </c>
      <c r="E75" s="39">
        <f>MAX(0,MIN(C75,$B$9-D75))</f>
        <v/>
      </c>
      <c r="F75" s="39">
        <f>MAX(0,C75-E75)</f>
        <v/>
      </c>
      <c r="G75" s="37" t="n">
        <v>2030</v>
      </c>
    </row>
    <row r="76">
      <c r="A76" s="37" t="n">
        <v>53</v>
      </c>
      <c r="B76" s="42" t="n">
        <v>47604</v>
      </c>
      <c r="C76" s="39">
        <f>MAX(0,F75)</f>
        <v/>
      </c>
      <c r="D76" s="39">
        <f>MAX(0,C76*$B$8/12)</f>
        <v/>
      </c>
      <c r="E76" s="39">
        <f>MAX(0,MIN(C76,$B$9-D76))</f>
        <v/>
      </c>
      <c r="F76" s="39">
        <f>MAX(0,C76-E76)</f>
        <v/>
      </c>
      <c r="G76" s="37" t="n">
        <v>2030</v>
      </c>
    </row>
    <row r="77">
      <c r="A77" s="37" t="n">
        <v>54</v>
      </c>
      <c r="B77" s="42" t="n">
        <v>47635</v>
      </c>
      <c r="C77" s="39">
        <f>MAX(0,F76)</f>
        <v/>
      </c>
      <c r="D77" s="39">
        <f>MAX(0,C77*$B$8/12)</f>
        <v/>
      </c>
      <c r="E77" s="39">
        <f>MAX(0,MIN(C77,$B$9-D77))</f>
        <v/>
      </c>
      <c r="F77" s="39">
        <f>MAX(0,C77-E77)</f>
        <v/>
      </c>
      <c r="G77" s="37" t="n">
        <v>2030</v>
      </c>
    </row>
    <row r="78">
      <c r="A78" s="37" t="n">
        <v>55</v>
      </c>
      <c r="B78" s="42" t="n">
        <v>47665</v>
      </c>
      <c r="C78" s="39">
        <f>MAX(0,F77)</f>
        <v/>
      </c>
      <c r="D78" s="39">
        <f>MAX(0,C78*$B$8/12)</f>
        <v/>
      </c>
      <c r="E78" s="39">
        <f>MAX(0,MIN(C78,$B$9-D78))</f>
        <v/>
      </c>
      <c r="F78" s="39">
        <f>MAX(0,C78-E78)</f>
        <v/>
      </c>
      <c r="G78" s="37" t="n">
        <v>2030</v>
      </c>
    </row>
    <row r="79">
      <c r="A79" s="37" t="n">
        <v>56</v>
      </c>
      <c r="B79" s="42" t="n">
        <v>47696</v>
      </c>
      <c r="C79" s="39">
        <f>MAX(0,F78)</f>
        <v/>
      </c>
      <c r="D79" s="39">
        <f>MAX(0,C79*$B$8/12)</f>
        <v/>
      </c>
      <c r="E79" s="39">
        <f>MAX(0,MIN(C79,$B$9-D79))</f>
        <v/>
      </c>
      <c r="F79" s="39">
        <f>MAX(0,C79-E79)</f>
        <v/>
      </c>
      <c r="G79" s="37" t="n">
        <v>2030</v>
      </c>
    </row>
    <row r="82">
      <c r="A82" s="2" t="inlineStr">
        <is>
          <t>ANNUAL SUMMARY</t>
        </is>
      </c>
    </row>
    <row r="83">
      <c r="A83" s="40" t="inlineStr">
        <is>
          <t>Year</t>
        </is>
      </c>
      <c r="B83" s="40" t="inlineStr">
        <is>
          <t>Beginning Balance</t>
        </is>
      </c>
      <c r="C83" s="40" t="inlineStr">
        <is>
          <t>Total Interest</t>
        </is>
      </c>
      <c r="D83" s="40" t="inlineStr">
        <is>
          <t>Total Principal</t>
        </is>
      </c>
      <c r="E83" s="40" t="inlineStr">
        <is>
          <t>Ending Balance</t>
        </is>
      </c>
    </row>
    <row r="84">
      <c r="A84" s="37" t="n">
        <v>2026</v>
      </c>
      <c r="B84" s="39">
        <f>C24</f>
        <v/>
      </c>
      <c r="C84" s="39">
        <f>SUM(D24:D35)</f>
        <v/>
      </c>
      <c r="D84" s="39">
        <f>SUM(E24:E35)</f>
        <v/>
      </c>
      <c r="E84" s="39">
        <f>F35</f>
        <v/>
      </c>
    </row>
    <row r="85">
      <c r="A85" s="37" t="n">
        <v>2027</v>
      </c>
      <c r="B85" s="39">
        <f>C36</f>
        <v/>
      </c>
      <c r="C85" s="39">
        <f>SUM(D36:D47)</f>
        <v/>
      </c>
      <c r="D85" s="39">
        <f>SUM(E36:E47)</f>
        <v/>
      </c>
      <c r="E85" s="39">
        <f>F47</f>
        <v/>
      </c>
    </row>
    <row r="86">
      <c r="A86" s="37" t="n">
        <v>2028</v>
      </c>
      <c r="B86" s="39">
        <f>C48</f>
        <v/>
      </c>
      <c r="C86" s="39">
        <f>SUM(D48:D59)</f>
        <v/>
      </c>
      <c r="D86" s="39">
        <f>SUM(E48:E59)</f>
        <v/>
      </c>
      <c r="E86" s="39">
        <f>F59</f>
        <v/>
      </c>
    </row>
    <row r="87">
      <c r="A87" s="37" t="n">
        <v>2029</v>
      </c>
      <c r="B87" s="39">
        <f>C60</f>
        <v/>
      </c>
      <c r="C87" s="39">
        <f>SUM(D60:D71)</f>
        <v/>
      </c>
      <c r="D87" s="39">
        <f>SUM(E60:E71)</f>
        <v/>
      </c>
      <c r="E87" s="39">
        <f>F71</f>
        <v/>
      </c>
    </row>
    <row r="88">
      <c r="A88" s="37" t="n">
        <v>2030</v>
      </c>
      <c r="B88" s="39">
        <f>C72</f>
        <v/>
      </c>
      <c r="C88" s="39">
        <f>SUM(D72:D79)</f>
        <v/>
      </c>
      <c r="D88" s="39">
        <f>SUM(E72:E79)</f>
        <v/>
      </c>
      <c r="E88" s="39">
        <f>F79</f>
        <v/>
      </c>
    </row>
    <row r="91">
      <c r="A91" s="1" t="inlineStr">
        <is>
          <t>CURRENT BALANCE (for DS link):</t>
        </is>
      </c>
      <c r="B91" s="31">
        <f>$B$7</f>
        <v/>
      </c>
    </row>
  </sheetData>
  <mergeCells count="4">
    <mergeCell ref="A1:C1"/>
    <mergeCell ref="A22:G22"/>
    <mergeCell ref="A12:C12"/>
    <mergeCell ref="A82:F82"/>
  </mergeCells>
  <pageMargins left="0.75" right="0.75" top="1" bottom="1" header="0.5" footer="0.5"/>
  <legacyDrawing xmlns:r="http://schemas.openxmlformats.org/officeDocument/2006/relationships" r:id="anysvml"/>
</worksheet>
</file>

<file path=xl/worksheets/sheet52.xml><?xml version="1.0" encoding="utf-8"?>
<worksheet xmlns="http://schemas.openxmlformats.org/spreadsheetml/2006/main">
  <sheetPr>
    <tabColor rgb="00808080"/>
    <outlinePr summaryBelow="1" summaryRight="1"/>
    <pageSetUpPr/>
  </sheetPr>
  <dimension ref="A1:G91"/>
  <sheetViews>
    <sheetView workbookViewId="0">
      <selection activeCell="A1" sqref="A1"/>
    </sheetView>
  </sheetViews>
  <sheetFormatPr baseColWidth="8" defaultRowHeight="15"/>
  <cols>
    <col width="14" customWidth="1" min="1" max="1"/>
    <col width="3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LOAN DETAILS</t>
        </is>
      </c>
    </row>
    <row r="2">
      <c r="A2" t="inlineStr">
        <is>
          <t>Lender:</t>
        </is>
      </c>
      <c r="B2" s="4" t="inlineStr">
        <is>
          <t>CCG - Commercial Credit Group</t>
        </is>
      </c>
    </row>
    <row r="3">
      <c r="A3" t="inlineStr">
        <is>
          <t>Loan Number:</t>
        </is>
      </c>
      <c r="B3" s="4" t="inlineStr">
        <is>
          <t>46312</t>
        </is>
      </c>
    </row>
    <row r="4">
      <c r="A4" t="inlineStr">
        <is>
          <t>Description:</t>
        </is>
      </c>
      <c r="B4" s="4" t="inlineStr">
        <is>
          <t>CCG 6 Trucks 820-825</t>
        </is>
      </c>
    </row>
    <row r="5">
      <c r="A5" t="inlineStr">
        <is>
          <t>Collateral:</t>
        </is>
      </c>
      <c r="B5" s="4" t="inlineStr">
        <is>
          <t>Equipment - Semi Trucks</t>
        </is>
      </c>
    </row>
    <row r="6">
      <c r="A6" t="inlineStr">
        <is>
          <t>Original Balance:</t>
        </is>
      </c>
      <c r="B6" s="26" t="n">
        <v>1128000</v>
      </c>
    </row>
    <row r="7">
      <c r="A7" t="inlineStr">
        <is>
          <t>Current Balance:</t>
        </is>
      </c>
      <c r="B7" s="26" t="n">
        <v>1050561</v>
      </c>
    </row>
    <row r="8">
      <c r="A8" t="inlineStr">
        <is>
          <t>Annual Rate:</t>
        </is>
      </c>
      <c r="B8" s="6" t="n">
        <v>0.105</v>
      </c>
    </row>
    <row r="9">
      <c r="A9" t="inlineStr">
        <is>
          <t>Monthly Payment:</t>
        </is>
      </c>
      <c r="B9" s="26" t="n">
        <v>24291</v>
      </c>
    </row>
    <row r="10">
      <c r="A10" t="inlineStr">
        <is>
          <t>Loan Type:</t>
        </is>
      </c>
      <c r="B10" s="4" t="inlineStr">
        <is>
          <t>AMORTIZING</t>
        </is>
      </c>
    </row>
    <row r="12">
      <c r="A12" s="2" t="inlineStr">
        <is>
          <t>AI ANALYSIS</t>
        </is>
      </c>
    </row>
    <row r="13">
      <c r="A13" s="9" t="inlineStr">
        <is>
          <t>Loan Classification:</t>
        </is>
      </c>
      <c r="B13" s="9" t="inlineStr">
        <is>
          <t>AMORTIZING</t>
        </is>
      </c>
      <c r="C13" s="9" t="n"/>
    </row>
    <row r="14">
      <c r="A14" s="9" t="inlineStr">
        <is>
          <t>Origination Date:</t>
        </is>
      </c>
      <c r="B14" s="34" t="n">
        <v>45971</v>
      </c>
      <c r="C14" s="9" t="n"/>
    </row>
    <row r="15">
      <c r="A15" s="9" t="inlineStr">
        <is>
          <t>Maturity Date:</t>
        </is>
      </c>
      <c r="B15" s="34" t="n">
        <v>47705</v>
      </c>
      <c r="C15" s="9" t="n"/>
    </row>
    <row r="16">
      <c r="A16" s="9" t="inlineStr">
        <is>
          <t>Total Term (months):</t>
        </is>
      </c>
      <c r="B16" s="9" t="n">
        <v>57</v>
      </c>
      <c r="C16" s="9" t="n"/>
    </row>
    <row r="17">
      <c r="A17" s="9" t="inlineStr">
        <is>
          <t>Months Elapsed:</t>
        </is>
      </c>
      <c r="B17" s="9" t="n">
        <v>1</v>
      </c>
      <c r="C17" s="9" t="n"/>
    </row>
    <row r="18">
      <c r="A18" s="9" t="inlineStr">
        <is>
          <t>Months Remaining:</t>
        </is>
      </c>
      <c r="B18" s="9" t="n">
        <v>56</v>
      </c>
      <c r="C18" s="9" t="n"/>
    </row>
    <row r="19">
      <c r="A19" s="9" t="inlineStr">
        <is>
          <t>Monthly Rate:</t>
        </is>
      </c>
      <c r="B19" s="41">
        <f>B8/12</f>
        <v/>
      </c>
      <c r="C19" s="9" t="n"/>
    </row>
    <row r="20">
      <c r="A20" s="9" t="inlineStr">
        <is>
          <t>Source Document:</t>
        </is>
      </c>
      <c r="B20" s="9" t="inlineStr">
        <is>
          <t>Meiborg_Debt_Schedule_202512.xlsx - Loan 55</t>
        </is>
      </c>
      <c r="C20" s="9" t="n"/>
    </row>
    <row r="22">
      <c r="A22" s="2" t="inlineStr">
        <is>
          <t>AMORTIZATION SCHEDULE</t>
        </is>
      </c>
    </row>
    <row r="23">
      <c r="A23" s="36" t="inlineStr">
        <is>
          <t>Month #</t>
        </is>
      </c>
      <c r="B23" s="36" t="inlineStr">
        <is>
          <t>Date</t>
        </is>
      </c>
      <c r="C23" s="36" t="inlineStr">
        <is>
          <t>Opening Balance</t>
        </is>
      </c>
      <c r="D23" s="36" t="inlineStr">
        <is>
          <t>Interest</t>
        </is>
      </c>
      <c r="E23" s="36" t="inlineStr">
        <is>
          <t>Principal</t>
        </is>
      </c>
      <c r="F23" s="36" t="inlineStr">
        <is>
          <t>Closing Balance</t>
        </is>
      </c>
      <c r="G23" s="36" t="inlineStr">
        <is>
          <t>Year</t>
        </is>
      </c>
    </row>
    <row r="24">
      <c r="A24" s="37" t="n">
        <v>1</v>
      </c>
      <c r="B24" s="42" t="n">
        <v>46023</v>
      </c>
      <c r="C24" s="39">
        <f>$B$7</f>
        <v/>
      </c>
      <c r="D24" s="39">
        <f>MAX(0,C24*$B$8/12)</f>
        <v/>
      </c>
      <c r="E24" s="39">
        <f>MAX(0,MIN(C24,$B$9-D24))</f>
        <v/>
      </c>
      <c r="F24" s="39">
        <f>MAX(0,C24-E24)</f>
        <v/>
      </c>
      <c r="G24" s="37" t="n">
        <v>2026</v>
      </c>
    </row>
    <row r="25">
      <c r="A25" s="37" t="n">
        <v>2</v>
      </c>
      <c r="B25" s="42" t="n">
        <v>46054</v>
      </c>
      <c r="C25" s="39">
        <f>MAX(0,F24)</f>
        <v/>
      </c>
      <c r="D25" s="39">
        <f>MAX(0,C25*$B$8/12)</f>
        <v/>
      </c>
      <c r="E25" s="39">
        <f>MAX(0,MIN(C25,$B$9-D25))</f>
        <v/>
      </c>
      <c r="F25" s="39">
        <f>MAX(0,C25-E25)</f>
        <v/>
      </c>
      <c r="G25" s="37" t="n">
        <v>2026</v>
      </c>
    </row>
    <row r="26">
      <c r="A26" s="37" t="n">
        <v>3</v>
      </c>
      <c r="B26" s="42" t="n">
        <v>46082</v>
      </c>
      <c r="C26" s="39">
        <f>MAX(0,F25)</f>
        <v/>
      </c>
      <c r="D26" s="39">
        <f>MAX(0,C26*$B$8/12)</f>
        <v/>
      </c>
      <c r="E26" s="39">
        <f>MAX(0,MIN(C26,$B$9-D26))</f>
        <v/>
      </c>
      <c r="F26" s="39">
        <f>MAX(0,C26-E26)</f>
        <v/>
      </c>
      <c r="G26" s="37" t="n">
        <v>2026</v>
      </c>
    </row>
    <row r="27">
      <c r="A27" s="37" t="n">
        <v>4</v>
      </c>
      <c r="B27" s="42" t="n">
        <v>46113</v>
      </c>
      <c r="C27" s="39">
        <f>MAX(0,F26)</f>
        <v/>
      </c>
      <c r="D27" s="39">
        <f>MAX(0,C27*$B$8/12)</f>
        <v/>
      </c>
      <c r="E27" s="39">
        <f>MAX(0,MIN(C27,$B$9-D27))</f>
        <v/>
      </c>
      <c r="F27" s="39">
        <f>MAX(0,C27-E27)</f>
        <v/>
      </c>
      <c r="G27" s="37" t="n">
        <v>2026</v>
      </c>
    </row>
    <row r="28">
      <c r="A28" s="37" t="n">
        <v>5</v>
      </c>
      <c r="B28" s="42" t="n">
        <v>46143</v>
      </c>
      <c r="C28" s="39">
        <f>MAX(0,F27)</f>
        <v/>
      </c>
      <c r="D28" s="39">
        <f>MAX(0,C28*$B$8/12)</f>
        <v/>
      </c>
      <c r="E28" s="39">
        <f>MAX(0,MIN(C28,$B$9-D28))</f>
        <v/>
      </c>
      <c r="F28" s="39">
        <f>MAX(0,C28-E28)</f>
        <v/>
      </c>
      <c r="G28" s="37" t="n">
        <v>2026</v>
      </c>
    </row>
    <row r="29">
      <c r="A29" s="37" t="n">
        <v>6</v>
      </c>
      <c r="B29" s="42" t="n">
        <v>46174</v>
      </c>
      <c r="C29" s="39">
        <f>MAX(0,F28)</f>
        <v/>
      </c>
      <c r="D29" s="39">
        <f>MAX(0,C29*$B$8/12)</f>
        <v/>
      </c>
      <c r="E29" s="39">
        <f>MAX(0,MIN(C29,$B$9-D29))</f>
        <v/>
      </c>
      <c r="F29" s="39">
        <f>MAX(0,C29-E29)</f>
        <v/>
      </c>
      <c r="G29" s="37" t="n">
        <v>2026</v>
      </c>
    </row>
    <row r="30">
      <c r="A30" s="37" t="n">
        <v>7</v>
      </c>
      <c r="B30" s="42" t="n">
        <v>46204</v>
      </c>
      <c r="C30" s="39">
        <f>MAX(0,F29)</f>
        <v/>
      </c>
      <c r="D30" s="39">
        <f>MAX(0,C30*$B$8/12)</f>
        <v/>
      </c>
      <c r="E30" s="39">
        <f>MAX(0,MIN(C30,$B$9-D30))</f>
        <v/>
      </c>
      <c r="F30" s="39">
        <f>MAX(0,C30-E30)</f>
        <v/>
      </c>
      <c r="G30" s="37" t="n">
        <v>2026</v>
      </c>
    </row>
    <row r="31">
      <c r="A31" s="37" t="n">
        <v>8</v>
      </c>
      <c r="B31" s="42" t="n">
        <v>46235</v>
      </c>
      <c r="C31" s="39">
        <f>MAX(0,F30)</f>
        <v/>
      </c>
      <c r="D31" s="39">
        <f>MAX(0,C31*$B$8/12)</f>
        <v/>
      </c>
      <c r="E31" s="39">
        <f>MAX(0,MIN(C31,$B$9-D31))</f>
        <v/>
      </c>
      <c r="F31" s="39">
        <f>MAX(0,C31-E31)</f>
        <v/>
      </c>
      <c r="G31" s="37" t="n">
        <v>2026</v>
      </c>
    </row>
    <row r="32">
      <c r="A32" s="37" t="n">
        <v>9</v>
      </c>
      <c r="B32" s="42" t="n">
        <v>46266</v>
      </c>
      <c r="C32" s="39">
        <f>MAX(0,F31)</f>
        <v/>
      </c>
      <c r="D32" s="39">
        <f>MAX(0,C32*$B$8/12)</f>
        <v/>
      </c>
      <c r="E32" s="39">
        <f>MAX(0,MIN(C32,$B$9-D32))</f>
        <v/>
      </c>
      <c r="F32" s="39">
        <f>MAX(0,C32-E32)</f>
        <v/>
      </c>
      <c r="G32" s="37" t="n">
        <v>2026</v>
      </c>
    </row>
    <row r="33">
      <c r="A33" s="37" t="n">
        <v>10</v>
      </c>
      <c r="B33" s="42" t="n">
        <v>46296</v>
      </c>
      <c r="C33" s="39">
        <f>MAX(0,F32)</f>
        <v/>
      </c>
      <c r="D33" s="39">
        <f>MAX(0,C33*$B$8/12)</f>
        <v/>
      </c>
      <c r="E33" s="39">
        <f>MAX(0,MIN(C33,$B$9-D33))</f>
        <v/>
      </c>
      <c r="F33" s="39">
        <f>MAX(0,C33-E33)</f>
        <v/>
      </c>
      <c r="G33" s="37" t="n">
        <v>2026</v>
      </c>
    </row>
    <row r="34">
      <c r="A34" s="37" t="n">
        <v>11</v>
      </c>
      <c r="B34" s="42" t="n">
        <v>46327</v>
      </c>
      <c r="C34" s="39">
        <f>MAX(0,F33)</f>
        <v/>
      </c>
      <c r="D34" s="39">
        <f>MAX(0,C34*$B$8/12)</f>
        <v/>
      </c>
      <c r="E34" s="39">
        <f>MAX(0,MIN(C34,$B$9-D34))</f>
        <v/>
      </c>
      <c r="F34" s="39">
        <f>MAX(0,C34-E34)</f>
        <v/>
      </c>
      <c r="G34" s="37" t="n">
        <v>2026</v>
      </c>
    </row>
    <row r="35">
      <c r="A35" s="37" t="n">
        <v>12</v>
      </c>
      <c r="B35" s="42" t="n">
        <v>46357</v>
      </c>
      <c r="C35" s="39">
        <f>MAX(0,F34)</f>
        <v/>
      </c>
      <c r="D35" s="39">
        <f>MAX(0,C35*$B$8/12)</f>
        <v/>
      </c>
      <c r="E35" s="39">
        <f>MAX(0,MIN(C35,$B$9-D35))</f>
        <v/>
      </c>
      <c r="F35" s="39">
        <f>MAX(0,C35-E35)</f>
        <v/>
      </c>
      <c r="G35" s="37" t="n">
        <v>2026</v>
      </c>
    </row>
    <row r="36">
      <c r="A36" s="37" t="n">
        <v>13</v>
      </c>
      <c r="B36" s="42" t="n">
        <v>46388</v>
      </c>
      <c r="C36" s="39">
        <f>MAX(0,F35)</f>
        <v/>
      </c>
      <c r="D36" s="39">
        <f>MAX(0,C36*$B$8/12)</f>
        <v/>
      </c>
      <c r="E36" s="39">
        <f>MAX(0,MIN(C36,$B$9-D36))</f>
        <v/>
      </c>
      <c r="F36" s="39">
        <f>MAX(0,C36-E36)</f>
        <v/>
      </c>
      <c r="G36" s="37" t="n">
        <v>2027</v>
      </c>
    </row>
    <row r="37">
      <c r="A37" s="37" t="n">
        <v>14</v>
      </c>
      <c r="B37" s="42" t="n">
        <v>46419</v>
      </c>
      <c r="C37" s="39">
        <f>MAX(0,F36)</f>
        <v/>
      </c>
      <c r="D37" s="39">
        <f>MAX(0,C37*$B$8/12)</f>
        <v/>
      </c>
      <c r="E37" s="39">
        <f>MAX(0,MIN(C37,$B$9-D37))</f>
        <v/>
      </c>
      <c r="F37" s="39">
        <f>MAX(0,C37-E37)</f>
        <v/>
      </c>
      <c r="G37" s="37" t="n">
        <v>2027</v>
      </c>
    </row>
    <row r="38">
      <c r="A38" s="37" t="n">
        <v>15</v>
      </c>
      <c r="B38" s="42" t="n">
        <v>46447</v>
      </c>
      <c r="C38" s="39">
        <f>MAX(0,F37)</f>
        <v/>
      </c>
      <c r="D38" s="39">
        <f>MAX(0,C38*$B$8/12)</f>
        <v/>
      </c>
      <c r="E38" s="39">
        <f>MAX(0,MIN(C38,$B$9-D38))</f>
        <v/>
      </c>
      <c r="F38" s="39">
        <f>MAX(0,C38-E38)</f>
        <v/>
      </c>
      <c r="G38" s="37" t="n">
        <v>2027</v>
      </c>
    </row>
    <row r="39">
      <c r="A39" s="37" t="n">
        <v>16</v>
      </c>
      <c r="B39" s="42" t="n">
        <v>46478</v>
      </c>
      <c r="C39" s="39">
        <f>MAX(0,F38)</f>
        <v/>
      </c>
      <c r="D39" s="39">
        <f>MAX(0,C39*$B$8/12)</f>
        <v/>
      </c>
      <c r="E39" s="39">
        <f>MAX(0,MIN(C39,$B$9-D39))</f>
        <v/>
      </c>
      <c r="F39" s="39">
        <f>MAX(0,C39-E39)</f>
        <v/>
      </c>
      <c r="G39" s="37" t="n">
        <v>2027</v>
      </c>
    </row>
    <row r="40">
      <c r="A40" s="37" t="n">
        <v>17</v>
      </c>
      <c r="B40" s="42" t="n">
        <v>46508</v>
      </c>
      <c r="C40" s="39">
        <f>MAX(0,F39)</f>
        <v/>
      </c>
      <c r="D40" s="39">
        <f>MAX(0,C40*$B$8/12)</f>
        <v/>
      </c>
      <c r="E40" s="39">
        <f>MAX(0,MIN(C40,$B$9-D40))</f>
        <v/>
      </c>
      <c r="F40" s="39">
        <f>MAX(0,C40-E40)</f>
        <v/>
      </c>
      <c r="G40" s="37" t="n">
        <v>2027</v>
      </c>
    </row>
    <row r="41">
      <c r="A41" s="37" t="n">
        <v>18</v>
      </c>
      <c r="B41" s="42" t="n">
        <v>46539</v>
      </c>
      <c r="C41" s="39">
        <f>MAX(0,F40)</f>
        <v/>
      </c>
      <c r="D41" s="39">
        <f>MAX(0,C41*$B$8/12)</f>
        <v/>
      </c>
      <c r="E41" s="39">
        <f>MAX(0,MIN(C41,$B$9-D41))</f>
        <v/>
      </c>
      <c r="F41" s="39">
        <f>MAX(0,C41-E41)</f>
        <v/>
      </c>
      <c r="G41" s="37" t="n">
        <v>2027</v>
      </c>
    </row>
    <row r="42">
      <c r="A42" s="37" t="n">
        <v>19</v>
      </c>
      <c r="B42" s="42" t="n">
        <v>46569</v>
      </c>
      <c r="C42" s="39">
        <f>MAX(0,F41)</f>
        <v/>
      </c>
      <c r="D42" s="39">
        <f>MAX(0,C42*$B$8/12)</f>
        <v/>
      </c>
      <c r="E42" s="39">
        <f>MAX(0,MIN(C42,$B$9-D42))</f>
        <v/>
      </c>
      <c r="F42" s="39">
        <f>MAX(0,C42-E42)</f>
        <v/>
      </c>
      <c r="G42" s="37" t="n">
        <v>2027</v>
      </c>
    </row>
    <row r="43">
      <c r="A43" s="37" t="n">
        <v>20</v>
      </c>
      <c r="B43" s="42" t="n">
        <v>46600</v>
      </c>
      <c r="C43" s="39">
        <f>MAX(0,F42)</f>
        <v/>
      </c>
      <c r="D43" s="39">
        <f>MAX(0,C43*$B$8/12)</f>
        <v/>
      </c>
      <c r="E43" s="39">
        <f>MAX(0,MIN(C43,$B$9-D43))</f>
        <v/>
      </c>
      <c r="F43" s="39">
        <f>MAX(0,C43-E43)</f>
        <v/>
      </c>
      <c r="G43" s="37" t="n">
        <v>2027</v>
      </c>
    </row>
    <row r="44">
      <c r="A44" s="37" t="n">
        <v>21</v>
      </c>
      <c r="B44" s="42" t="n">
        <v>46631</v>
      </c>
      <c r="C44" s="39">
        <f>MAX(0,F43)</f>
        <v/>
      </c>
      <c r="D44" s="39">
        <f>MAX(0,C44*$B$8/12)</f>
        <v/>
      </c>
      <c r="E44" s="39">
        <f>MAX(0,MIN(C44,$B$9-D44))</f>
        <v/>
      </c>
      <c r="F44" s="39">
        <f>MAX(0,C44-E44)</f>
        <v/>
      </c>
      <c r="G44" s="37" t="n">
        <v>2027</v>
      </c>
    </row>
    <row r="45">
      <c r="A45" s="37" t="n">
        <v>22</v>
      </c>
      <c r="B45" s="42" t="n">
        <v>46661</v>
      </c>
      <c r="C45" s="39">
        <f>MAX(0,F44)</f>
        <v/>
      </c>
      <c r="D45" s="39">
        <f>MAX(0,C45*$B$8/12)</f>
        <v/>
      </c>
      <c r="E45" s="39">
        <f>MAX(0,MIN(C45,$B$9-D45))</f>
        <v/>
      </c>
      <c r="F45" s="39">
        <f>MAX(0,C45-E45)</f>
        <v/>
      </c>
      <c r="G45" s="37" t="n">
        <v>2027</v>
      </c>
    </row>
    <row r="46">
      <c r="A46" s="37" t="n">
        <v>23</v>
      </c>
      <c r="B46" s="42" t="n">
        <v>46692</v>
      </c>
      <c r="C46" s="39">
        <f>MAX(0,F45)</f>
        <v/>
      </c>
      <c r="D46" s="39">
        <f>MAX(0,C46*$B$8/12)</f>
        <v/>
      </c>
      <c r="E46" s="39">
        <f>MAX(0,MIN(C46,$B$9-D46))</f>
        <v/>
      </c>
      <c r="F46" s="39">
        <f>MAX(0,C46-E46)</f>
        <v/>
      </c>
      <c r="G46" s="37" t="n">
        <v>2027</v>
      </c>
    </row>
    <row r="47">
      <c r="A47" s="37" t="n">
        <v>24</v>
      </c>
      <c r="B47" s="42" t="n">
        <v>46722</v>
      </c>
      <c r="C47" s="39">
        <f>MAX(0,F46)</f>
        <v/>
      </c>
      <c r="D47" s="39">
        <f>MAX(0,C47*$B$8/12)</f>
        <v/>
      </c>
      <c r="E47" s="39">
        <f>MAX(0,MIN(C47,$B$9-D47))</f>
        <v/>
      </c>
      <c r="F47" s="39">
        <f>MAX(0,C47-E47)</f>
        <v/>
      </c>
      <c r="G47" s="37" t="n">
        <v>2027</v>
      </c>
    </row>
    <row r="48">
      <c r="A48" s="37" t="n">
        <v>25</v>
      </c>
      <c r="B48" s="42" t="n">
        <v>46753</v>
      </c>
      <c r="C48" s="39">
        <f>MAX(0,F47)</f>
        <v/>
      </c>
      <c r="D48" s="39">
        <f>MAX(0,C48*$B$8/12)</f>
        <v/>
      </c>
      <c r="E48" s="39">
        <f>MAX(0,MIN(C48,$B$9-D48))</f>
        <v/>
      </c>
      <c r="F48" s="39">
        <f>MAX(0,C48-E48)</f>
        <v/>
      </c>
      <c r="G48" s="37" t="n">
        <v>2028</v>
      </c>
    </row>
    <row r="49">
      <c r="A49" s="37" t="n">
        <v>26</v>
      </c>
      <c r="B49" s="42" t="n">
        <v>46784</v>
      </c>
      <c r="C49" s="39">
        <f>MAX(0,F48)</f>
        <v/>
      </c>
      <c r="D49" s="39">
        <f>MAX(0,C49*$B$8/12)</f>
        <v/>
      </c>
      <c r="E49" s="39">
        <f>MAX(0,MIN(C49,$B$9-D49))</f>
        <v/>
      </c>
      <c r="F49" s="39">
        <f>MAX(0,C49-E49)</f>
        <v/>
      </c>
      <c r="G49" s="37" t="n">
        <v>2028</v>
      </c>
    </row>
    <row r="50">
      <c r="A50" s="37" t="n">
        <v>27</v>
      </c>
      <c r="B50" s="42" t="n">
        <v>46813</v>
      </c>
      <c r="C50" s="39">
        <f>MAX(0,F49)</f>
        <v/>
      </c>
      <c r="D50" s="39">
        <f>MAX(0,C50*$B$8/12)</f>
        <v/>
      </c>
      <c r="E50" s="39">
        <f>MAX(0,MIN(C50,$B$9-D50))</f>
        <v/>
      </c>
      <c r="F50" s="39">
        <f>MAX(0,C50-E50)</f>
        <v/>
      </c>
      <c r="G50" s="37" t="n">
        <v>2028</v>
      </c>
    </row>
    <row r="51">
      <c r="A51" s="37" t="n">
        <v>28</v>
      </c>
      <c r="B51" s="42" t="n">
        <v>46844</v>
      </c>
      <c r="C51" s="39">
        <f>MAX(0,F50)</f>
        <v/>
      </c>
      <c r="D51" s="39">
        <f>MAX(0,C51*$B$8/12)</f>
        <v/>
      </c>
      <c r="E51" s="39">
        <f>MAX(0,MIN(C51,$B$9-D51))</f>
        <v/>
      </c>
      <c r="F51" s="39">
        <f>MAX(0,C51-E51)</f>
        <v/>
      </c>
      <c r="G51" s="37" t="n">
        <v>2028</v>
      </c>
    </row>
    <row r="52">
      <c r="A52" s="37" t="n">
        <v>29</v>
      </c>
      <c r="B52" s="42" t="n">
        <v>46874</v>
      </c>
      <c r="C52" s="39">
        <f>MAX(0,F51)</f>
        <v/>
      </c>
      <c r="D52" s="39">
        <f>MAX(0,C52*$B$8/12)</f>
        <v/>
      </c>
      <c r="E52" s="39">
        <f>MAX(0,MIN(C52,$B$9-D52))</f>
        <v/>
      </c>
      <c r="F52" s="39">
        <f>MAX(0,C52-E52)</f>
        <v/>
      </c>
      <c r="G52" s="37" t="n">
        <v>2028</v>
      </c>
    </row>
    <row r="53">
      <c r="A53" s="37" t="n">
        <v>30</v>
      </c>
      <c r="B53" s="42" t="n">
        <v>46905</v>
      </c>
      <c r="C53" s="39">
        <f>MAX(0,F52)</f>
        <v/>
      </c>
      <c r="D53" s="39">
        <f>MAX(0,C53*$B$8/12)</f>
        <v/>
      </c>
      <c r="E53" s="39">
        <f>MAX(0,MIN(C53,$B$9-D53))</f>
        <v/>
      </c>
      <c r="F53" s="39">
        <f>MAX(0,C53-E53)</f>
        <v/>
      </c>
      <c r="G53" s="37" t="n">
        <v>2028</v>
      </c>
    </row>
    <row r="54">
      <c r="A54" s="37" t="n">
        <v>31</v>
      </c>
      <c r="B54" s="42" t="n">
        <v>46935</v>
      </c>
      <c r="C54" s="39">
        <f>MAX(0,F53)</f>
        <v/>
      </c>
      <c r="D54" s="39">
        <f>MAX(0,C54*$B$8/12)</f>
        <v/>
      </c>
      <c r="E54" s="39">
        <f>MAX(0,MIN(C54,$B$9-D54))</f>
        <v/>
      </c>
      <c r="F54" s="39">
        <f>MAX(0,C54-E54)</f>
        <v/>
      </c>
      <c r="G54" s="37" t="n">
        <v>2028</v>
      </c>
    </row>
    <row r="55">
      <c r="A55" s="37" t="n">
        <v>32</v>
      </c>
      <c r="B55" s="42" t="n">
        <v>46966</v>
      </c>
      <c r="C55" s="39">
        <f>MAX(0,F54)</f>
        <v/>
      </c>
      <c r="D55" s="39">
        <f>MAX(0,C55*$B$8/12)</f>
        <v/>
      </c>
      <c r="E55" s="39">
        <f>MAX(0,MIN(C55,$B$9-D55))</f>
        <v/>
      </c>
      <c r="F55" s="39">
        <f>MAX(0,C55-E55)</f>
        <v/>
      </c>
      <c r="G55" s="37" t="n">
        <v>2028</v>
      </c>
    </row>
    <row r="56">
      <c r="A56" s="37" t="n">
        <v>33</v>
      </c>
      <c r="B56" s="42" t="n">
        <v>46997</v>
      </c>
      <c r="C56" s="39">
        <f>MAX(0,F55)</f>
        <v/>
      </c>
      <c r="D56" s="39">
        <f>MAX(0,C56*$B$8/12)</f>
        <v/>
      </c>
      <c r="E56" s="39">
        <f>MAX(0,MIN(C56,$B$9-D56))</f>
        <v/>
      </c>
      <c r="F56" s="39">
        <f>MAX(0,C56-E56)</f>
        <v/>
      </c>
      <c r="G56" s="37" t="n">
        <v>2028</v>
      </c>
    </row>
    <row r="57">
      <c r="A57" s="37" t="n">
        <v>34</v>
      </c>
      <c r="B57" s="42" t="n">
        <v>47027</v>
      </c>
      <c r="C57" s="39">
        <f>MAX(0,F56)</f>
        <v/>
      </c>
      <c r="D57" s="39">
        <f>MAX(0,C57*$B$8/12)</f>
        <v/>
      </c>
      <c r="E57" s="39">
        <f>MAX(0,MIN(C57,$B$9-D57))</f>
        <v/>
      </c>
      <c r="F57" s="39">
        <f>MAX(0,C57-E57)</f>
        <v/>
      </c>
      <c r="G57" s="37" t="n">
        <v>2028</v>
      </c>
    </row>
    <row r="58">
      <c r="A58" s="37" t="n">
        <v>35</v>
      </c>
      <c r="B58" s="42" t="n">
        <v>47058</v>
      </c>
      <c r="C58" s="39">
        <f>MAX(0,F57)</f>
        <v/>
      </c>
      <c r="D58" s="39">
        <f>MAX(0,C58*$B$8/12)</f>
        <v/>
      </c>
      <c r="E58" s="39">
        <f>MAX(0,MIN(C58,$B$9-D58))</f>
        <v/>
      </c>
      <c r="F58" s="39">
        <f>MAX(0,C58-E58)</f>
        <v/>
      </c>
      <c r="G58" s="37" t="n">
        <v>2028</v>
      </c>
    </row>
    <row r="59">
      <c r="A59" s="37" t="n">
        <v>36</v>
      </c>
      <c r="B59" s="42" t="n">
        <v>47088</v>
      </c>
      <c r="C59" s="39">
        <f>MAX(0,F58)</f>
        <v/>
      </c>
      <c r="D59" s="39">
        <f>MAX(0,C59*$B$8/12)</f>
        <v/>
      </c>
      <c r="E59" s="39">
        <f>MAX(0,MIN(C59,$B$9-D59))</f>
        <v/>
      </c>
      <c r="F59" s="39">
        <f>MAX(0,C59-E59)</f>
        <v/>
      </c>
      <c r="G59" s="37" t="n">
        <v>2028</v>
      </c>
    </row>
    <row r="60">
      <c r="A60" s="37" t="n">
        <v>37</v>
      </c>
      <c r="B60" s="42" t="n">
        <v>47119</v>
      </c>
      <c r="C60" s="39">
        <f>MAX(0,F59)</f>
        <v/>
      </c>
      <c r="D60" s="39">
        <f>MAX(0,C60*$B$8/12)</f>
        <v/>
      </c>
      <c r="E60" s="39">
        <f>MAX(0,MIN(C60,$B$9-D60))</f>
        <v/>
      </c>
      <c r="F60" s="39">
        <f>MAX(0,C60-E60)</f>
        <v/>
      </c>
      <c r="G60" s="37" t="n">
        <v>2029</v>
      </c>
    </row>
    <row r="61">
      <c r="A61" s="37" t="n">
        <v>38</v>
      </c>
      <c r="B61" s="42" t="n">
        <v>47150</v>
      </c>
      <c r="C61" s="39">
        <f>MAX(0,F60)</f>
        <v/>
      </c>
      <c r="D61" s="39">
        <f>MAX(0,C61*$B$8/12)</f>
        <v/>
      </c>
      <c r="E61" s="39">
        <f>MAX(0,MIN(C61,$B$9-D61))</f>
        <v/>
      </c>
      <c r="F61" s="39">
        <f>MAX(0,C61-E61)</f>
        <v/>
      </c>
      <c r="G61" s="37" t="n">
        <v>2029</v>
      </c>
    </row>
    <row r="62">
      <c r="A62" s="37" t="n">
        <v>39</v>
      </c>
      <c r="B62" s="42" t="n">
        <v>47178</v>
      </c>
      <c r="C62" s="39">
        <f>MAX(0,F61)</f>
        <v/>
      </c>
      <c r="D62" s="39">
        <f>MAX(0,C62*$B$8/12)</f>
        <v/>
      </c>
      <c r="E62" s="39">
        <f>MAX(0,MIN(C62,$B$9-D62))</f>
        <v/>
      </c>
      <c r="F62" s="39">
        <f>MAX(0,C62-E62)</f>
        <v/>
      </c>
      <c r="G62" s="37" t="n">
        <v>2029</v>
      </c>
    </row>
    <row r="63">
      <c r="A63" s="37" t="n">
        <v>40</v>
      </c>
      <c r="B63" s="42" t="n">
        <v>47209</v>
      </c>
      <c r="C63" s="39">
        <f>MAX(0,F62)</f>
        <v/>
      </c>
      <c r="D63" s="39">
        <f>MAX(0,C63*$B$8/12)</f>
        <v/>
      </c>
      <c r="E63" s="39">
        <f>MAX(0,MIN(C63,$B$9-D63))</f>
        <v/>
      </c>
      <c r="F63" s="39">
        <f>MAX(0,C63-E63)</f>
        <v/>
      </c>
      <c r="G63" s="37" t="n">
        <v>2029</v>
      </c>
    </row>
    <row r="64">
      <c r="A64" s="37" t="n">
        <v>41</v>
      </c>
      <c r="B64" s="42" t="n">
        <v>47239</v>
      </c>
      <c r="C64" s="39">
        <f>MAX(0,F63)</f>
        <v/>
      </c>
      <c r="D64" s="39">
        <f>MAX(0,C64*$B$8/12)</f>
        <v/>
      </c>
      <c r="E64" s="39">
        <f>MAX(0,MIN(C64,$B$9-D64))</f>
        <v/>
      </c>
      <c r="F64" s="39">
        <f>MAX(0,C64-E64)</f>
        <v/>
      </c>
      <c r="G64" s="37" t="n">
        <v>2029</v>
      </c>
    </row>
    <row r="65">
      <c r="A65" s="37" t="n">
        <v>42</v>
      </c>
      <c r="B65" s="42" t="n">
        <v>47270</v>
      </c>
      <c r="C65" s="39">
        <f>MAX(0,F64)</f>
        <v/>
      </c>
      <c r="D65" s="39">
        <f>MAX(0,C65*$B$8/12)</f>
        <v/>
      </c>
      <c r="E65" s="39">
        <f>MAX(0,MIN(C65,$B$9-D65))</f>
        <v/>
      </c>
      <c r="F65" s="39">
        <f>MAX(0,C65-E65)</f>
        <v/>
      </c>
      <c r="G65" s="37" t="n">
        <v>2029</v>
      </c>
    </row>
    <row r="66">
      <c r="A66" s="37" t="n">
        <v>43</v>
      </c>
      <c r="B66" s="42" t="n">
        <v>47300</v>
      </c>
      <c r="C66" s="39">
        <f>MAX(0,F65)</f>
        <v/>
      </c>
      <c r="D66" s="39">
        <f>MAX(0,C66*$B$8/12)</f>
        <v/>
      </c>
      <c r="E66" s="39">
        <f>MAX(0,MIN(C66,$B$9-D66))</f>
        <v/>
      </c>
      <c r="F66" s="39">
        <f>MAX(0,C66-E66)</f>
        <v/>
      </c>
      <c r="G66" s="37" t="n">
        <v>2029</v>
      </c>
    </row>
    <row r="67">
      <c r="A67" s="37" t="n">
        <v>44</v>
      </c>
      <c r="B67" s="42" t="n">
        <v>47331</v>
      </c>
      <c r="C67" s="39">
        <f>MAX(0,F66)</f>
        <v/>
      </c>
      <c r="D67" s="39">
        <f>MAX(0,C67*$B$8/12)</f>
        <v/>
      </c>
      <c r="E67" s="39">
        <f>MAX(0,MIN(C67,$B$9-D67))</f>
        <v/>
      </c>
      <c r="F67" s="39">
        <f>MAX(0,C67-E67)</f>
        <v/>
      </c>
      <c r="G67" s="37" t="n">
        <v>2029</v>
      </c>
    </row>
    <row r="68">
      <c r="A68" s="37" t="n">
        <v>45</v>
      </c>
      <c r="B68" s="42" t="n">
        <v>47362</v>
      </c>
      <c r="C68" s="39">
        <f>MAX(0,F67)</f>
        <v/>
      </c>
      <c r="D68" s="39">
        <f>MAX(0,C68*$B$8/12)</f>
        <v/>
      </c>
      <c r="E68" s="39">
        <f>MAX(0,MIN(C68,$B$9-D68))</f>
        <v/>
      </c>
      <c r="F68" s="39">
        <f>MAX(0,C68-E68)</f>
        <v/>
      </c>
      <c r="G68" s="37" t="n">
        <v>2029</v>
      </c>
    </row>
    <row r="69">
      <c r="A69" s="37" t="n">
        <v>46</v>
      </c>
      <c r="B69" s="42" t="n">
        <v>47392</v>
      </c>
      <c r="C69" s="39">
        <f>MAX(0,F68)</f>
        <v/>
      </c>
      <c r="D69" s="39">
        <f>MAX(0,C69*$B$8/12)</f>
        <v/>
      </c>
      <c r="E69" s="39">
        <f>MAX(0,MIN(C69,$B$9-D69))</f>
        <v/>
      </c>
      <c r="F69" s="39">
        <f>MAX(0,C69-E69)</f>
        <v/>
      </c>
      <c r="G69" s="37" t="n">
        <v>2029</v>
      </c>
    </row>
    <row r="70">
      <c r="A70" s="37" t="n">
        <v>47</v>
      </c>
      <c r="B70" s="42" t="n">
        <v>47423</v>
      </c>
      <c r="C70" s="39">
        <f>MAX(0,F69)</f>
        <v/>
      </c>
      <c r="D70" s="39">
        <f>MAX(0,C70*$B$8/12)</f>
        <v/>
      </c>
      <c r="E70" s="39">
        <f>MAX(0,MIN(C70,$B$9-D70))</f>
        <v/>
      </c>
      <c r="F70" s="39">
        <f>MAX(0,C70-E70)</f>
        <v/>
      </c>
      <c r="G70" s="37" t="n">
        <v>2029</v>
      </c>
    </row>
    <row r="71">
      <c r="A71" s="37" t="n">
        <v>48</v>
      </c>
      <c r="B71" s="42" t="n">
        <v>47453</v>
      </c>
      <c r="C71" s="39">
        <f>MAX(0,F70)</f>
        <v/>
      </c>
      <c r="D71" s="39">
        <f>MAX(0,C71*$B$8/12)</f>
        <v/>
      </c>
      <c r="E71" s="39">
        <f>MAX(0,MIN(C71,$B$9-D71))</f>
        <v/>
      </c>
      <c r="F71" s="39">
        <f>MAX(0,C71-E71)</f>
        <v/>
      </c>
      <c r="G71" s="37" t="n">
        <v>2029</v>
      </c>
    </row>
    <row r="72">
      <c r="A72" s="37" t="n">
        <v>49</v>
      </c>
      <c r="B72" s="42" t="n">
        <v>47484</v>
      </c>
      <c r="C72" s="39">
        <f>MAX(0,F71)</f>
        <v/>
      </c>
      <c r="D72" s="39">
        <f>MAX(0,C72*$B$8/12)</f>
        <v/>
      </c>
      <c r="E72" s="39">
        <f>MAX(0,MIN(C72,$B$9-D72))</f>
        <v/>
      </c>
      <c r="F72" s="39">
        <f>MAX(0,C72-E72)</f>
        <v/>
      </c>
      <c r="G72" s="37" t="n">
        <v>2030</v>
      </c>
    </row>
    <row r="73">
      <c r="A73" s="37" t="n">
        <v>50</v>
      </c>
      <c r="B73" s="42" t="n">
        <v>47515</v>
      </c>
      <c r="C73" s="39">
        <f>MAX(0,F72)</f>
        <v/>
      </c>
      <c r="D73" s="39">
        <f>MAX(0,C73*$B$8/12)</f>
        <v/>
      </c>
      <c r="E73" s="39">
        <f>MAX(0,MIN(C73,$B$9-D73))</f>
        <v/>
      </c>
      <c r="F73" s="39">
        <f>MAX(0,C73-E73)</f>
        <v/>
      </c>
      <c r="G73" s="37" t="n">
        <v>2030</v>
      </c>
    </row>
    <row r="74">
      <c r="A74" s="37" t="n">
        <v>51</v>
      </c>
      <c r="B74" s="42" t="n">
        <v>47543</v>
      </c>
      <c r="C74" s="39">
        <f>MAX(0,F73)</f>
        <v/>
      </c>
      <c r="D74" s="39">
        <f>MAX(0,C74*$B$8/12)</f>
        <v/>
      </c>
      <c r="E74" s="39">
        <f>MAX(0,MIN(C74,$B$9-D74))</f>
        <v/>
      </c>
      <c r="F74" s="39">
        <f>MAX(0,C74-E74)</f>
        <v/>
      </c>
      <c r="G74" s="37" t="n">
        <v>2030</v>
      </c>
    </row>
    <row r="75">
      <c r="A75" s="37" t="n">
        <v>52</v>
      </c>
      <c r="B75" s="42" t="n">
        <v>47574</v>
      </c>
      <c r="C75" s="39">
        <f>MAX(0,F74)</f>
        <v/>
      </c>
      <c r="D75" s="39">
        <f>MAX(0,C75*$B$8/12)</f>
        <v/>
      </c>
      <c r="E75" s="39">
        <f>MAX(0,MIN(C75,$B$9-D75))</f>
        <v/>
      </c>
      <c r="F75" s="39">
        <f>MAX(0,C75-E75)</f>
        <v/>
      </c>
      <c r="G75" s="37" t="n">
        <v>2030</v>
      </c>
    </row>
    <row r="76">
      <c r="A76" s="37" t="n">
        <v>53</v>
      </c>
      <c r="B76" s="42" t="n">
        <v>47604</v>
      </c>
      <c r="C76" s="39">
        <f>MAX(0,F75)</f>
        <v/>
      </c>
      <c r="D76" s="39">
        <f>MAX(0,C76*$B$8/12)</f>
        <v/>
      </c>
      <c r="E76" s="39">
        <f>MAX(0,MIN(C76,$B$9-D76))</f>
        <v/>
      </c>
      <c r="F76" s="39">
        <f>MAX(0,C76-E76)</f>
        <v/>
      </c>
      <c r="G76" s="37" t="n">
        <v>2030</v>
      </c>
    </row>
    <row r="77">
      <c r="A77" s="37" t="n">
        <v>54</v>
      </c>
      <c r="B77" s="42" t="n">
        <v>47635</v>
      </c>
      <c r="C77" s="39">
        <f>MAX(0,F76)</f>
        <v/>
      </c>
      <c r="D77" s="39">
        <f>MAX(0,C77*$B$8/12)</f>
        <v/>
      </c>
      <c r="E77" s="39">
        <f>MAX(0,MIN(C77,$B$9-D77))</f>
        <v/>
      </c>
      <c r="F77" s="39">
        <f>MAX(0,C77-E77)</f>
        <v/>
      </c>
      <c r="G77" s="37" t="n">
        <v>2030</v>
      </c>
    </row>
    <row r="78">
      <c r="A78" s="37" t="n">
        <v>55</v>
      </c>
      <c r="B78" s="42" t="n">
        <v>47665</v>
      </c>
      <c r="C78" s="39">
        <f>MAX(0,F77)</f>
        <v/>
      </c>
      <c r="D78" s="39">
        <f>MAX(0,C78*$B$8/12)</f>
        <v/>
      </c>
      <c r="E78" s="39">
        <f>MAX(0,MIN(C78,$B$9-D78))</f>
        <v/>
      </c>
      <c r="F78" s="39">
        <f>MAX(0,C78-E78)</f>
        <v/>
      </c>
      <c r="G78" s="37" t="n">
        <v>2030</v>
      </c>
    </row>
    <row r="79">
      <c r="A79" s="37" t="n">
        <v>56</v>
      </c>
      <c r="B79" s="42" t="n">
        <v>47696</v>
      </c>
      <c r="C79" s="39">
        <f>MAX(0,F78)</f>
        <v/>
      </c>
      <c r="D79" s="39">
        <f>MAX(0,C79*$B$8/12)</f>
        <v/>
      </c>
      <c r="E79" s="39">
        <f>MAX(0,MIN(C79,$B$9-D79))</f>
        <v/>
      </c>
      <c r="F79" s="39">
        <f>MAX(0,C79-E79)</f>
        <v/>
      </c>
      <c r="G79" s="37" t="n">
        <v>2030</v>
      </c>
    </row>
    <row r="82">
      <c r="A82" s="2" t="inlineStr">
        <is>
          <t>ANNUAL SUMMARY</t>
        </is>
      </c>
    </row>
    <row r="83">
      <c r="A83" s="40" t="inlineStr">
        <is>
          <t>Year</t>
        </is>
      </c>
      <c r="B83" s="40" t="inlineStr">
        <is>
          <t>Beginning Balance</t>
        </is>
      </c>
      <c r="C83" s="40" t="inlineStr">
        <is>
          <t>Total Interest</t>
        </is>
      </c>
      <c r="D83" s="40" t="inlineStr">
        <is>
          <t>Total Principal</t>
        </is>
      </c>
      <c r="E83" s="40" t="inlineStr">
        <is>
          <t>Ending Balance</t>
        </is>
      </c>
    </row>
    <row r="84">
      <c r="A84" s="37" t="n">
        <v>2026</v>
      </c>
      <c r="B84" s="39">
        <f>C24</f>
        <v/>
      </c>
      <c r="C84" s="39">
        <f>SUM(D24:D35)</f>
        <v/>
      </c>
      <c r="D84" s="39">
        <f>SUM(E24:E35)</f>
        <v/>
      </c>
      <c r="E84" s="39">
        <f>F35</f>
        <v/>
      </c>
    </row>
    <row r="85">
      <c r="A85" s="37" t="n">
        <v>2027</v>
      </c>
      <c r="B85" s="39">
        <f>C36</f>
        <v/>
      </c>
      <c r="C85" s="39">
        <f>SUM(D36:D47)</f>
        <v/>
      </c>
      <c r="D85" s="39">
        <f>SUM(E36:E47)</f>
        <v/>
      </c>
      <c r="E85" s="39">
        <f>F47</f>
        <v/>
      </c>
    </row>
    <row r="86">
      <c r="A86" s="37" t="n">
        <v>2028</v>
      </c>
      <c r="B86" s="39">
        <f>C48</f>
        <v/>
      </c>
      <c r="C86" s="39">
        <f>SUM(D48:D59)</f>
        <v/>
      </c>
      <c r="D86" s="39">
        <f>SUM(E48:E59)</f>
        <v/>
      </c>
      <c r="E86" s="39">
        <f>F59</f>
        <v/>
      </c>
    </row>
    <row r="87">
      <c r="A87" s="37" t="n">
        <v>2029</v>
      </c>
      <c r="B87" s="39">
        <f>C60</f>
        <v/>
      </c>
      <c r="C87" s="39">
        <f>SUM(D60:D71)</f>
        <v/>
      </c>
      <c r="D87" s="39">
        <f>SUM(E60:E71)</f>
        <v/>
      </c>
      <c r="E87" s="39">
        <f>F71</f>
        <v/>
      </c>
    </row>
    <row r="88">
      <c r="A88" s="37" t="n">
        <v>2030</v>
      </c>
      <c r="B88" s="39">
        <f>C72</f>
        <v/>
      </c>
      <c r="C88" s="39">
        <f>SUM(D72:D79)</f>
        <v/>
      </c>
      <c r="D88" s="39">
        <f>SUM(E72:E79)</f>
        <v/>
      </c>
      <c r="E88" s="39">
        <f>F79</f>
        <v/>
      </c>
    </row>
    <row r="91">
      <c r="A91" s="1" t="inlineStr">
        <is>
          <t>CURRENT BALANCE (for DS link):</t>
        </is>
      </c>
      <c r="B91" s="31">
        <f>$B$7</f>
        <v/>
      </c>
    </row>
  </sheetData>
  <mergeCells count="4">
    <mergeCell ref="A1:C1"/>
    <mergeCell ref="A22:G22"/>
    <mergeCell ref="A12:C12"/>
    <mergeCell ref="A82:F82"/>
  </mergeCells>
  <pageMargins left="0.75" right="0.75" top="1" bottom="1" header="0.5" footer="0.5"/>
  <legacyDrawing xmlns:r="http://schemas.openxmlformats.org/officeDocument/2006/relationships" r:id="anysvml"/>
</worksheet>
</file>

<file path=xl/worksheets/sheet53.xml><?xml version="1.0" encoding="utf-8"?>
<worksheet xmlns="http://schemas.openxmlformats.org/spreadsheetml/2006/main">
  <sheetPr>
    <tabColor rgb="00808080"/>
    <outlinePr summaryBelow="1" summaryRight="1"/>
    <pageSetUpPr/>
  </sheetPr>
  <dimension ref="A1:G59"/>
  <sheetViews>
    <sheetView workbookViewId="0">
      <selection activeCell="A1" sqref="A1"/>
    </sheetView>
  </sheetViews>
  <sheetFormatPr baseColWidth="8" defaultRowHeight="15"/>
  <cols>
    <col width="14" customWidth="1" min="1" max="1"/>
    <col width="3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LOAN DETAILS</t>
        </is>
      </c>
    </row>
    <row r="2">
      <c r="A2" t="inlineStr">
        <is>
          <t>Lender:</t>
        </is>
      </c>
      <c r="B2" s="4" t="inlineStr">
        <is>
          <t>Bank of America</t>
        </is>
      </c>
    </row>
    <row r="3">
      <c r="A3" t="inlineStr">
        <is>
          <t>Loan Number:</t>
        </is>
      </c>
      <c r="B3" s="4" t="inlineStr">
        <is>
          <t>65010066140623</t>
        </is>
      </c>
    </row>
    <row r="4">
      <c r="A4" t="inlineStr">
        <is>
          <t>Description:</t>
        </is>
      </c>
      <c r="B4" s="4" t="inlineStr">
        <is>
          <t>2024 Corvette</t>
        </is>
      </c>
    </row>
    <row r="5">
      <c r="A5" t="inlineStr">
        <is>
          <t>Collateral:</t>
        </is>
      </c>
      <c r="B5" s="4" t="inlineStr">
        <is>
          <t>Zach Race Car</t>
        </is>
      </c>
    </row>
    <row r="6">
      <c r="A6" t="inlineStr">
        <is>
          <t>Original Balance:</t>
        </is>
      </c>
      <c r="B6" s="26" t="n">
        <v>136493.42</v>
      </c>
    </row>
    <row r="7">
      <c r="A7" t="inlineStr">
        <is>
          <t>Current Balance:</t>
        </is>
      </c>
      <c r="B7" s="26" t="n">
        <v>76664</v>
      </c>
    </row>
    <row r="8">
      <c r="A8" t="inlineStr">
        <is>
          <t>Annual Rate:</t>
        </is>
      </c>
      <c r="B8" s="6" t="n">
        <v>0.0829</v>
      </c>
    </row>
    <row r="9">
      <c r="A9" t="inlineStr">
        <is>
          <t>Monthly Payment:</t>
        </is>
      </c>
      <c r="B9" s="26" t="n">
        <v>3482</v>
      </c>
    </row>
    <row r="10">
      <c r="A10" t="inlineStr">
        <is>
          <t>Loan Type:</t>
        </is>
      </c>
      <c r="B10" s="4" t="inlineStr">
        <is>
          <t>AMORTIZING</t>
        </is>
      </c>
    </row>
    <row r="12">
      <c r="A12" s="2" t="inlineStr">
        <is>
          <t>AI ANALYSIS</t>
        </is>
      </c>
    </row>
    <row r="13">
      <c r="A13" s="9" t="inlineStr">
        <is>
          <t>Loan Classification:</t>
        </is>
      </c>
      <c r="B13" s="9" t="inlineStr">
        <is>
          <t>AMORTIZING</t>
        </is>
      </c>
      <c r="C13" s="9" t="n"/>
    </row>
    <row r="14">
      <c r="A14" s="9" t="inlineStr">
        <is>
          <t>Origination Date:</t>
        </is>
      </c>
      <c r="B14" s="34" t="n">
        <v>45323</v>
      </c>
      <c r="C14" s="9" t="n"/>
    </row>
    <row r="15">
      <c r="A15" s="9" t="inlineStr">
        <is>
          <t>Maturity Date:</t>
        </is>
      </c>
      <c r="B15" s="34" t="n">
        <v>46784</v>
      </c>
      <c r="C15" s="9" t="n"/>
    </row>
    <row r="16">
      <c r="A16" s="9" t="inlineStr">
        <is>
          <t>Total Term (months):</t>
        </is>
      </c>
      <c r="B16" s="9" t="n">
        <v>48</v>
      </c>
      <c r="C16" s="9" t="n"/>
    </row>
    <row r="17">
      <c r="A17" s="9" t="inlineStr">
        <is>
          <t>Months Elapsed:</t>
        </is>
      </c>
      <c r="B17" s="9" t="n">
        <v>22</v>
      </c>
      <c r="C17" s="9" t="n"/>
    </row>
    <row r="18">
      <c r="A18" s="9" t="inlineStr">
        <is>
          <t>Months Remaining:</t>
        </is>
      </c>
      <c r="B18" s="9" t="n">
        <v>26</v>
      </c>
      <c r="C18" s="9" t="n"/>
    </row>
    <row r="19">
      <c r="A19" s="9" t="inlineStr">
        <is>
          <t>Monthly Rate:</t>
        </is>
      </c>
      <c r="B19" s="41">
        <f>B8/12</f>
        <v/>
      </c>
      <c r="C19" s="9" t="n"/>
    </row>
    <row r="20">
      <c r="A20" s="9" t="inlineStr">
        <is>
          <t>Source Document:</t>
        </is>
      </c>
      <c r="B20" s="9" t="inlineStr">
        <is>
          <t>Meiborg_Debt_Schedule_202512.xlsx - Loan 57</t>
        </is>
      </c>
      <c r="C20" s="9" t="n"/>
    </row>
    <row r="22">
      <c r="A22" s="2" t="inlineStr">
        <is>
          <t>AMORTIZATION SCHEDULE</t>
        </is>
      </c>
    </row>
    <row r="23">
      <c r="A23" s="36" t="inlineStr">
        <is>
          <t>Month #</t>
        </is>
      </c>
      <c r="B23" s="36" t="inlineStr">
        <is>
          <t>Date</t>
        </is>
      </c>
      <c r="C23" s="36" t="inlineStr">
        <is>
          <t>Opening Balance</t>
        </is>
      </c>
      <c r="D23" s="36" t="inlineStr">
        <is>
          <t>Interest</t>
        </is>
      </c>
      <c r="E23" s="36" t="inlineStr">
        <is>
          <t>Principal</t>
        </is>
      </c>
      <c r="F23" s="36" t="inlineStr">
        <is>
          <t>Closing Balance</t>
        </is>
      </c>
      <c r="G23" s="36" t="inlineStr">
        <is>
          <t>Year</t>
        </is>
      </c>
    </row>
    <row r="24">
      <c r="A24" s="37" t="n">
        <v>1</v>
      </c>
      <c r="B24" s="42" t="n">
        <v>46023</v>
      </c>
      <c r="C24" s="39">
        <f>$B$7</f>
        <v/>
      </c>
      <c r="D24" s="39">
        <f>MAX(0,C24*$B$8/12)</f>
        <v/>
      </c>
      <c r="E24" s="39">
        <f>MAX(0,MIN(C24,$B$9-D24))</f>
        <v/>
      </c>
      <c r="F24" s="39">
        <f>MAX(0,C24-E24)</f>
        <v/>
      </c>
      <c r="G24" s="37" t="n">
        <v>2026</v>
      </c>
    </row>
    <row r="25">
      <c r="A25" s="37" t="n">
        <v>2</v>
      </c>
      <c r="B25" s="42" t="n">
        <v>46054</v>
      </c>
      <c r="C25" s="39">
        <f>MAX(0,F24)</f>
        <v/>
      </c>
      <c r="D25" s="39">
        <f>MAX(0,C25*$B$8/12)</f>
        <v/>
      </c>
      <c r="E25" s="39">
        <f>MAX(0,MIN(C25,$B$9-D25))</f>
        <v/>
      </c>
      <c r="F25" s="39">
        <f>MAX(0,C25-E25)</f>
        <v/>
      </c>
      <c r="G25" s="37" t="n">
        <v>2026</v>
      </c>
    </row>
    <row r="26">
      <c r="A26" s="37" t="n">
        <v>3</v>
      </c>
      <c r="B26" s="42" t="n">
        <v>46082</v>
      </c>
      <c r="C26" s="39">
        <f>MAX(0,F25)</f>
        <v/>
      </c>
      <c r="D26" s="39">
        <f>MAX(0,C26*$B$8/12)</f>
        <v/>
      </c>
      <c r="E26" s="39">
        <f>MAX(0,MIN(C26,$B$9-D26))</f>
        <v/>
      </c>
      <c r="F26" s="39">
        <f>MAX(0,C26-E26)</f>
        <v/>
      </c>
      <c r="G26" s="37" t="n">
        <v>2026</v>
      </c>
    </row>
    <row r="27">
      <c r="A27" s="37" t="n">
        <v>4</v>
      </c>
      <c r="B27" s="42" t="n">
        <v>46113</v>
      </c>
      <c r="C27" s="39">
        <f>MAX(0,F26)</f>
        <v/>
      </c>
      <c r="D27" s="39">
        <f>MAX(0,C27*$B$8/12)</f>
        <v/>
      </c>
      <c r="E27" s="39">
        <f>MAX(0,MIN(C27,$B$9-D27))</f>
        <v/>
      </c>
      <c r="F27" s="39">
        <f>MAX(0,C27-E27)</f>
        <v/>
      </c>
      <c r="G27" s="37" t="n">
        <v>2026</v>
      </c>
    </row>
    <row r="28">
      <c r="A28" s="37" t="n">
        <v>5</v>
      </c>
      <c r="B28" s="42" t="n">
        <v>46143</v>
      </c>
      <c r="C28" s="39">
        <f>MAX(0,F27)</f>
        <v/>
      </c>
      <c r="D28" s="39">
        <f>MAX(0,C28*$B$8/12)</f>
        <v/>
      </c>
      <c r="E28" s="39">
        <f>MAX(0,MIN(C28,$B$9-D28))</f>
        <v/>
      </c>
      <c r="F28" s="39">
        <f>MAX(0,C28-E28)</f>
        <v/>
      </c>
      <c r="G28" s="37" t="n">
        <v>2026</v>
      </c>
    </row>
    <row r="29">
      <c r="A29" s="37" t="n">
        <v>6</v>
      </c>
      <c r="B29" s="42" t="n">
        <v>46174</v>
      </c>
      <c r="C29" s="39">
        <f>MAX(0,F28)</f>
        <v/>
      </c>
      <c r="D29" s="39">
        <f>MAX(0,C29*$B$8/12)</f>
        <v/>
      </c>
      <c r="E29" s="39">
        <f>MAX(0,MIN(C29,$B$9-D29))</f>
        <v/>
      </c>
      <c r="F29" s="39">
        <f>MAX(0,C29-E29)</f>
        <v/>
      </c>
      <c r="G29" s="37" t="n">
        <v>2026</v>
      </c>
    </row>
    <row r="30">
      <c r="A30" s="37" t="n">
        <v>7</v>
      </c>
      <c r="B30" s="42" t="n">
        <v>46204</v>
      </c>
      <c r="C30" s="39">
        <f>MAX(0,F29)</f>
        <v/>
      </c>
      <c r="D30" s="39">
        <f>MAX(0,C30*$B$8/12)</f>
        <v/>
      </c>
      <c r="E30" s="39">
        <f>MAX(0,MIN(C30,$B$9-D30))</f>
        <v/>
      </c>
      <c r="F30" s="39">
        <f>MAX(0,C30-E30)</f>
        <v/>
      </c>
      <c r="G30" s="37" t="n">
        <v>2026</v>
      </c>
    </row>
    <row r="31">
      <c r="A31" s="37" t="n">
        <v>8</v>
      </c>
      <c r="B31" s="42" t="n">
        <v>46235</v>
      </c>
      <c r="C31" s="39">
        <f>MAX(0,F30)</f>
        <v/>
      </c>
      <c r="D31" s="39">
        <f>MAX(0,C31*$B$8/12)</f>
        <v/>
      </c>
      <c r="E31" s="39">
        <f>MAX(0,MIN(C31,$B$9-D31))</f>
        <v/>
      </c>
      <c r="F31" s="39">
        <f>MAX(0,C31-E31)</f>
        <v/>
      </c>
      <c r="G31" s="37" t="n">
        <v>2026</v>
      </c>
    </row>
    <row r="32">
      <c r="A32" s="37" t="n">
        <v>9</v>
      </c>
      <c r="B32" s="42" t="n">
        <v>46266</v>
      </c>
      <c r="C32" s="39">
        <f>MAX(0,F31)</f>
        <v/>
      </c>
      <c r="D32" s="39">
        <f>MAX(0,C32*$B$8/12)</f>
        <v/>
      </c>
      <c r="E32" s="39">
        <f>MAX(0,MIN(C32,$B$9-D32))</f>
        <v/>
      </c>
      <c r="F32" s="39">
        <f>MAX(0,C32-E32)</f>
        <v/>
      </c>
      <c r="G32" s="37" t="n">
        <v>2026</v>
      </c>
    </row>
    <row r="33">
      <c r="A33" s="37" t="n">
        <v>10</v>
      </c>
      <c r="B33" s="42" t="n">
        <v>46296</v>
      </c>
      <c r="C33" s="39">
        <f>MAX(0,F32)</f>
        <v/>
      </c>
      <c r="D33" s="39">
        <f>MAX(0,C33*$B$8/12)</f>
        <v/>
      </c>
      <c r="E33" s="39">
        <f>MAX(0,MIN(C33,$B$9-D33))</f>
        <v/>
      </c>
      <c r="F33" s="39">
        <f>MAX(0,C33-E33)</f>
        <v/>
      </c>
      <c r="G33" s="37" t="n">
        <v>2026</v>
      </c>
    </row>
    <row r="34">
      <c r="A34" s="37" t="n">
        <v>11</v>
      </c>
      <c r="B34" s="42" t="n">
        <v>46327</v>
      </c>
      <c r="C34" s="39">
        <f>MAX(0,F33)</f>
        <v/>
      </c>
      <c r="D34" s="39">
        <f>MAX(0,C34*$B$8/12)</f>
        <v/>
      </c>
      <c r="E34" s="39">
        <f>MAX(0,MIN(C34,$B$9-D34))</f>
        <v/>
      </c>
      <c r="F34" s="39">
        <f>MAX(0,C34-E34)</f>
        <v/>
      </c>
      <c r="G34" s="37" t="n">
        <v>2026</v>
      </c>
    </row>
    <row r="35">
      <c r="A35" s="37" t="n">
        <v>12</v>
      </c>
      <c r="B35" s="42" t="n">
        <v>46357</v>
      </c>
      <c r="C35" s="39">
        <f>MAX(0,F34)</f>
        <v/>
      </c>
      <c r="D35" s="39">
        <f>MAX(0,C35*$B$8/12)</f>
        <v/>
      </c>
      <c r="E35" s="39">
        <f>MAX(0,MIN(C35,$B$9-D35))</f>
        <v/>
      </c>
      <c r="F35" s="39">
        <f>MAX(0,C35-E35)</f>
        <v/>
      </c>
      <c r="G35" s="37" t="n">
        <v>2026</v>
      </c>
    </row>
    <row r="36">
      <c r="A36" s="37" t="n">
        <v>13</v>
      </c>
      <c r="B36" s="42" t="n">
        <v>46388</v>
      </c>
      <c r="C36" s="39">
        <f>MAX(0,F35)</f>
        <v/>
      </c>
      <c r="D36" s="39">
        <f>MAX(0,C36*$B$8/12)</f>
        <v/>
      </c>
      <c r="E36" s="39">
        <f>MAX(0,MIN(C36,$B$9-D36))</f>
        <v/>
      </c>
      <c r="F36" s="39">
        <f>MAX(0,C36-E36)</f>
        <v/>
      </c>
      <c r="G36" s="37" t="n">
        <v>2027</v>
      </c>
    </row>
    <row r="37">
      <c r="A37" s="37" t="n">
        <v>14</v>
      </c>
      <c r="B37" s="42" t="n">
        <v>46419</v>
      </c>
      <c r="C37" s="39">
        <f>MAX(0,F36)</f>
        <v/>
      </c>
      <c r="D37" s="39">
        <f>MAX(0,C37*$B$8/12)</f>
        <v/>
      </c>
      <c r="E37" s="39">
        <f>MAX(0,MIN(C37,$B$9-D37))</f>
        <v/>
      </c>
      <c r="F37" s="39">
        <f>MAX(0,C37-E37)</f>
        <v/>
      </c>
      <c r="G37" s="37" t="n">
        <v>2027</v>
      </c>
    </row>
    <row r="38">
      <c r="A38" s="37" t="n">
        <v>15</v>
      </c>
      <c r="B38" s="42" t="n">
        <v>46447</v>
      </c>
      <c r="C38" s="39">
        <f>MAX(0,F37)</f>
        <v/>
      </c>
      <c r="D38" s="39">
        <f>MAX(0,C38*$B$8/12)</f>
        <v/>
      </c>
      <c r="E38" s="39">
        <f>MAX(0,MIN(C38,$B$9-D38))</f>
        <v/>
      </c>
      <c r="F38" s="39">
        <f>MAX(0,C38-E38)</f>
        <v/>
      </c>
      <c r="G38" s="37" t="n">
        <v>2027</v>
      </c>
    </row>
    <row r="39">
      <c r="A39" s="37" t="n">
        <v>16</v>
      </c>
      <c r="B39" s="42" t="n">
        <v>46478</v>
      </c>
      <c r="C39" s="39">
        <f>MAX(0,F38)</f>
        <v/>
      </c>
      <c r="D39" s="39">
        <f>MAX(0,C39*$B$8/12)</f>
        <v/>
      </c>
      <c r="E39" s="39">
        <f>MAX(0,MIN(C39,$B$9-D39))</f>
        <v/>
      </c>
      <c r="F39" s="39">
        <f>MAX(0,C39-E39)</f>
        <v/>
      </c>
      <c r="G39" s="37" t="n">
        <v>2027</v>
      </c>
    </row>
    <row r="40">
      <c r="A40" s="37" t="n">
        <v>17</v>
      </c>
      <c r="B40" s="42" t="n">
        <v>46508</v>
      </c>
      <c r="C40" s="39">
        <f>MAX(0,F39)</f>
        <v/>
      </c>
      <c r="D40" s="39">
        <f>MAX(0,C40*$B$8/12)</f>
        <v/>
      </c>
      <c r="E40" s="39">
        <f>MAX(0,MIN(C40,$B$9-D40))</f>
        <v/>
      </c>
      <c r="F40" s="39">
        <f>MAX(0,C40-E40)</f>
        <v/>
      </c>
      <c r="G40" s="37" t="n">
        <v>2027</v>
      </c>
    </row>
    <row r="41">
      <c r="A41" s="37" t="n">
        <v>18</v>
      </c>
      <c r="B41" s="42" t="n">
        <v>46539</v>
      </c>
      <c r="C41" s="39">
        <f>MAX(0,F40)</f>
        <v/>
      </c>
      <c r="D41" s="39">
        <f>MAX(0,C41*$B$8/12)</f>
        <v/>
      </c>
      <c r="E41" s="39">
        <f>MAX(0,MIN(C41,$B$9-D41))</f>
        <v/>
      </c>
      <c r="F41" s="39">
        <f>MAX(0,C41-E41)</f>
        <v/>
      </c>
      <c r="G41" s="37" t="n">
        <v>2027</v>
      </c>
    </row>
    <row r="42">
      <c r="A42" s="37" t="n">
        <v>19</v>
      </c>
      <c r="B42" s="42" t="n">
        <v>46569</v>
      </c>
      <c r="C42" s="39">
        <f>MAX(0,F41)</f>
        <v/>
      </c>
      <c r="D42" s="39">
        <f>MAX(0,C42*$B$8/12)</f>
        <v/>
      </c>
      <c r="E42" s="39">
        <f>MAX(0,MIN(C42,$B$9-D42))</f>
        <v/>
      </c>
      <c r="F42" s="39">
        <f>MAX(0,C42-E42)</f>
        <v/>
      </c>
      <c r="G42" s="37" t="n">
        <v>2027</v>
      </c>
    </row>
    <row r="43">
      <c r="A43" s="37" t="n">
        <v>20</v>
      </c>
      <c r="B43" s="42" t="n">
        <v>46600</v>
      </c>
      <c r="C43" s="39">
        <f>MAX(0,F42)</f>
        <v/>
      </c>
      <c r="D43" s="39">
        <f>MAX(0,C43*$B$8/12)</f>
        <v/>
      </c>
      <c r="E43" s="39">
        <f>MAX(0,MIN(C43,$B$9-D43))</f>
        <v/>
      </c>
      <c r="F43" s="39">
        <f>MAX(0,C43-E43)</f>
        <v/>
      </c>
      <c r="G43" s="37" t="n">
        <v>2027</v>
      </c>
    </row>
    <row r="44">
      <c r="A44" s="37" t="n">
        <v>21</v>
      </c>
      <c r="B44" s="42" t="n">
        <v>46631</v>
      </c>
      <c r="C44" s="39">
        <f>MAX(0,F43)</f>
        <v/>
      </c>
      <c r="D44" s="39">
        <f>MAX(0,C44*$B$8/12)</f>
        <v/>
      </c>
      <c r="E44" s="39">
        <f>MAX(0,MIN(C44,$B$9-D44))</f>
        <v/>
      </c>
      <c r="F44" s="39">
        <f>MAX(0,C44-E44)</f>
        <v/>
      </c>
      <c r="G44" s="37" t="n">
        <v>2027</v>
      </c>
    </row>
    <row r="45">
      <c r="A45" s="37" t="n">
        <v>22</v>
      </c>
      <c r="B45" s="42" t="n">
        <v>46661</v>
      </c>
      <c r="C45" s="39">
        <f>MAX(0,F44)</f>
        <v/>
      </c>
      <c r="D45" s="39">
        <f>MAX(0,C45*$B$8/12)</f>
        <v/>
      </c>
      <c r="E45" s="39">
        <f>MAX(0,MIN(C45,$B$9-D45))</f>
        <v/>
      </c>
      <c r="F45" s="39">
        <f>MAX(0,C45-E45)</f>
        <v/>
      </c>
      <c r="G45" s="37" t="n">
        <v>2027</v>
      </c>
    </row>
    <row r="46">
      <c r="A46" s="37" t="n">
        <v>23</v>
      </c>
      <c r="B46" s="42" t="n">
        <v>46692</v>
      </c>
      <c r="C46" s="39">
        <f>MAX(0,F45)</f>
        <v/>
      </c>
      <c r="D46" s="39">
        <f>MAX(0,C46*$B$8/12)</f>
        <v/>
      </c>
      <c r="E46" s="39">
        <f>MAX(0,MIN(C46,$B$9-D46))</f>
        <v/>
      </c>
      <c r="F46" s="39">
        <f>MAX(0,C46-E46)</f>
        <v/>
      </c>
      <c r="G46" s="37" t="n">
        <v>2027</v>
      </c>
    </row>
    <row r="47">
      <c r="A47" s="37" t="n">
        <v>24</v>
      </c>
      <c r="B47" s="42" t="n">
        <v>46722</v>
      </c>
      <c r="C47" s="39">
        <f>MAX(0,F46)</f>
        <v/>
      </c>
      <c r="D47" s="39">
        <f>MAX(0,C47*$B$8/12)</f>
        <v/>
      </c>
      <c r="E47" s="39">
        <f>MAX(0,MIN(C47,$B$9-D47))</f>
        <v/>
      </c>
      <c r="F47" s="39">
        <f>MAX(0,C47-E47)</f>
        <v/>
      </c>
      <c r="G47" s="37" t="n">
        <v>2027</v>
      </c>
    </row>
    <row r="48">
      <c r="A48" s="37" t="n">
        <v>25</v>
      </c>
      <c r="B48" s="42" t="n">
        <v>46753</v>
      </c>
      <c r="C48" s="39">
        <f>MAX(0,F47)</f>
        <v/>
      </c>
      <c r="D48" s="39">
        <f>MAX(0,C48*$B$8/12)</f>
        <v/>
      </c>
      <c r="E48" s="39">
        <f>MAX(0,MIN(C48,$B$9-D48))</f>
        <v/>
      </c>
      <c r="F48" s="39">
        <f>MAX(0,C48-E48)</f>
        <v/>
      </c>
      <c r="G48" s="37" t="n">
        <v>2028</v>
      </c>
    </row>
    <row r="49">
      <c r="A49" s="37" t="n">
        <v>26</v>
      </c>
      <c r="B49" s="42" t="n">
        <v>46784</v>
      </c>
      <c r="C49" s="39">
        <f>MAX(0,F48)</f>
        <v/>
      </c>
      <c r="D49" s="39">
        <f>MAX(0,C49*$B$8/12)</f>
        <v/>
      </c>
      <c r="E49" s="39">
        <f>MAX(0,MIN(C49,$B$9-D49))</f>
        <v/>
      </c>
      <c r="F49" s="39">
        <f>MAX(0,C49-E49)</f>
        <v/>
      </c>
      <c r="G49" s="37" t="n">
        <v>2028</v>
      </c>
    </row>
    <row r="52">
      <c r="A52" s="2" t="inlineStr">
        <is>
          <t>ANNUAL SUMMARY</t>
        </is>
      </c>
    </row>
    <row r="53">
      <c r="A53" s="40" t="inlineStr">
        <is>
          <t>Year</t>
        </is>
      </c>
      <c r="B53" s="40" t="inlineStr">
        <is>
          <t>Beginning Balance</t>
        </is>
      </c>
      <c r="C53" s="40" t="inlineStr">
        <is>
          <t>Total Interest</t>
        </is>
      </c>
      <c r="D53" s="40" t="inlineStr">
        <is>
          <t>Total Principal</t>
        </is>
      </c>
      <c r="E53" s="40" t="inlineStr">
        <is>
          <t>Ending Balance</t>
        </is>
      </c>
    </row>
    <row r="54">
      <c r="A54" s="37" t="n">
        <v>2026</v>
      </c>
      <c r="B54" s="39">
        <f>C24</f>
        <v/>
      </c>
      <c r="C54" s="39">
        <f>SUM(D24:D35)</f>
        <v/>
      </c>
      <c r="D54" s="39">
        <f>SUM(E24:E35)</f>
        <v/>
      </c>
      <c r="E54" s="39">
        <f>F35</f>
        <v/>
      </c>
    </row>
    <row r="55">
      <c r="A55" s="37" t="n">
        <v>2027</v>
      </c>
      <c r="B55" s="39">
        <f>C36</f>
        <v/>
      </c>
      <c r="C55" s="39">
        <f>SUM(D36:D47)</f>
        <v/>
      </c>
      <c r="D55" s="39">
        <f>SUM(E36:E47)</f>
        <v/>
      </c>
      <c r="E55" s="39">
        <f>F47</f>
        <v/>
      </c>
    </row>
    <row r="56">
      <c r="A56" s="37" t="n">
        <v>2028</v>
      </c>
      <c r="B56" s="39">
        <f>C48</f>
        <v/>
      </c>
      <c r="C56" s="39">
        <f>SUM(D48:D49)</f>
        <v/>
      </c>
      <c r="D56" s="39">
        <f>SUM(E48:E49)</f>
        <v/>
      </c>
      <c r="E56" s="39">
        <f>F49</f>
        <v/>
      </c>
    </row>
    <row r="59">
      <c r="A59" s="1" t="inlineStr">
        <is>
          <t>CURRENT BALANCE (for DS link):</t>
        </is>
      </c>
      <c r="B59" s="31">
        <f>$B$7</f>
        <v/>
      </c>
    </row>
  </sheetData>
  <mergeCells count="4">
    <mergeCell ref="A1:C1"/>
    <mergeCell ref="A52:F52"/>
    <mergeCell ref="A22:G22"/>
    <mergeCell ref="A12:C12"/>
  </mergeCells>
  <pageMargins left="0.75" right="0.75" top="1" bottom="1" header="0.5" footer="0.5"/>
  <legacyDrawing xmlns:r="http://schemas.openxmlformats.org/officeDocument/2006/relationships" r:id="anysvml"/>
</worksheet>
</file>

<file path=xl/worksheets/sheet54.xml><?xml version="1.0" encoding="utf-8"?>
<worksheet xmlns="http://schemas.openxmlformats.org/spreadsheetml/2006/main">
  <sheetPr>
    <tabColor rgb="00808080"/>
    <outlinePr summaryBelow="1" summaryRight="1"/>
    <pageSetUpPr/>
  </sheetPr>
  <dimension ref="A1:G104"/>
  <sheetViews>
    <sheetView workbookViewId="0">
      <selection activeCell="A1" sqref="A1"/>
    </sheetView>
  </sheetViews>
  <sheetFormatPr baseColWidth="8" defaultRowHeight="15"/>
  <cols>
    <col width="14" customWidth="1" min="1" max="1"/>
    <col width="3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LOAN DETAILS</t>
        </is>
      </c>
    </row>
    <row r="2">
      <c r="A2" t="inlineStr">
        <is>
          <t>Lender:</t>
        </is>
      </c>
      <c r="B2" s="4" t="inlineStr">
        <is>
          <t>International Financial</t>
        </is>
      </c>
    </row>
    <row r="3">
      <c r="A3" t="inlineStr">
        <is>
          <t>Loan Number:</t>
        </is>
      </c>
      <c r="B3" s="4" t="inlineStr">
        <is>
          <t>36007320001</t>
        </is>
      </c>
    </row>
    <row r="4">
      <c r="A4" t="inlineStr">
        <is>
          <t>Description:</t>
        </is>
      </c>
      <c r="B4" s="4" t="inlineStr">
        <is>
          <t>8 International Trucks 801-808</t>
        </is>
      </c>
    </row>
    <row r="5">
      <c r="A5" t="inlineStr">
        <is>
          <t>Collateral:</t>
        </is>
      </c>
      <c r="B5" s="4" t="inlineStr">
        <is>
          <t>Equipment - Semi Trucks</t>
        </is>
      </c>
    </row>
    <row r="6">
      <c r="A6" t="inlineStr">
        <is>
          <t>Original Balance:</t>
        </is>
      </c>
      <c r="B6" s="26" t="n">
        <v>1512353.32</v>
      </c>
    </row>
    <row r="7">
      <c r="A7" t="inlineStr">
        <is>
          <t>Current Balance:</t>
        </is>
      </c>
      <c r="B7" s="26" t="n">
        <v>1433617</v>
      </c>
    </row>
    <row r="8">
      <c r="A8" t="inlineStr">
        <is>
          <t>Annual Rate:</t>
        </is>
      </c>
      <c r="B8" s="6" t="n">
        <v>0.0799</v>
      </c>
    </row>
    <row r="9">
      <c r="A9" t="inlineStr">
        <is>
          <t>Monthly Payment:</t>
        </is>
      </c>
      <c r="B9" s="26" t="n">
        <v>25670</v>
      </c>
    </row>
    <row r="10">
      <c r="A10" t="inlineStr">
        <is>
          <t>Loan Type:</t>
        </is>
      </c>
      <c r="B10" s="4" t="inlineStr">
        <is>
          <t>AMORTIZING</t>
        </is>
      </c>
    </row>
    <row r="12">
      <c r="A12" s="2" t="inlineStr">
        <is>
          <t>AI ANALYSIS</t>
        </is>
      </c>
    </row>
    <row r="13">
      <c r="A13" s="9" t="inlineStr">
        <is>
          <t>Loan Classification:</t>
        </is>
      </c>
      <c r="B13" s="9" t="inlineStr">
        <is>
          <t>AMORTIZING</t>
        </is>
      </c>
      <c r="C13" s="9" t="n"/>
    </row>
    <row r="14">
      <c r="A14" s="9" t="inlineStr">
        <is>
          <t>Origination Date:</t>
        </is>
      </c>
      <c r="B14" s="34" t="n">
        <v>45849</v>
      </c>
      <c r="C14" s="9" t="n"/>
    </row>
    <row r="15">
      <c r="A15" s="9" t="inlineStr">
        <is>
          <t>Maturity Date:</t>
        </is>
      </c>
      <c r="B15" s="34" t="n">
        <v>48061</v>
      </c>
      <c r="C15" s="9" t="n"/>
    </row>
    <row r="16">
      <c r="A16" s="9" t="inlineStr">
        <is>
          <t>Total Term (months):</t>
        </is>
      </c>
      <c r="B16" s="9" t="n">
        <v>73</v>
      </c>
      <c r="C16" s="9" t="n"/>
    </row>
    <row r="17">
      <c r="A17" s="9" t="inlineStr">
        <is>
          <t>Months Elapsed:</t>
        </is>
      </c>
      <c r="B17" s="9" t="n">
        <v>5</v>
      </c>
      <c r="C17" s="9" t="n"/>
    </row>
    <row r="18">
      <c r="A18" s="9" t="inlineStr">
        <is>
          <t>Months Remaining:</t>
        </is>
      </c>
      <c r="B18" s="9" t="n">
        <v>68</v>
      </c>
      <c r="C18" s="9" t="n"/>
    </row>
    <row r="19">
      <c r="A19" s="9" t="inlineStr">
        <is>
          <t>Monthly Rate:</t>
        </is>
      </c>
      <c r="B19" s="41">
        <f>B8/12</f>
        <v/>
      </c>
      <c r="C19" s="9" t="n"/>
    </row>
    <row r="20">
      <c r="A20" s="9" t="inlineStr">
        <is>
          <t>Source Document:</t>
        </is>
      </c>
      <c r="B20" s="9" t="inlineStr">
        <is>
          <t>Meiborg_Debt_Schedule_202512.xlsx - Loan 58</t>
        </is>
      </c>
      <c r="C20" s="9" t="n"/>
    </row>
    <row r="22">
      <c r="A22" s="2" t="inlineStr">
        <is>
          <t>AMORTIZATION SCHEDULE</t>
        </is>
      </c>
    </row>
    <row r="23">
      <c r="A23" s="36" t="inlineStr">
        <is>
          <t>Month #</t>
        </is>
      </c>
      <c r="B23" s="36" t="inlineStr">
        <is>
          <t>Date</t>
        </is>
      </c>
      <c r="C23" s="36" t="inlineStr">
        <is>
          <t>Opening Balance</t>
        </is>
      </c>
      <c r="D23" s="36" t="inlineStr">
        <is>
          <t>Interest</t>
        </is>
      </c>
      <c r="E23" s="36" t="inlineStr">
        <is>
          <t>Principal</t>
        </is>
      </c>
      <c r="F23" s="36" t="inlineStr">
        <is>
          <t>Closing Balance</t>
        </is>
      </c>
      <c r="G23" s="36" t="inlineStr">
        <is>
          <t>Year</t>
        </is>
      </c>
    </row>
    <row r="24">
      <c r="A24" s="37" t="n">
        <v>1</v>
      </c>
      <c r="B24" s="42" t="n">
        <v>46023</v>
      </c>
      <c r="C24" s="39">
        <f>$B$7</f>
        <v/>
      </c>
      <c r="D24" s="39">
        <f>MAX(0,C24*$B$8/12)</f>
        <v/>
      </c>
      <c r="E24" s="39">
        <f>MAX(0,MIN(C24,$B$9-D24))</f>
        <v/>
      </c>
      <c r="F24" s="39">
        <f>MAX(0,C24-E24)</f>
        <v/>
      </c>
      <c r="G24" s="37" t="n">
        <v>2026</v>
      </c>
    </row>
    <row r="25">
      <c r="A25" s="37" t="n">
        <v>2</v>
      </c>
      <c r="B25" s="42" t="n">
        <v>46054</v>
      </c>
      <c r="C25" s="39">
        <f>MAX(0,F24)</f>
        <v/>
      </c>
      <c r="D25" s="39">
        <f>MAX(0,C25*$B$8/12)</f>
        <v/>
      </c>
      <c r="E25" s="39">
        <f>MAX(0,MIN(C25,$B$9-D25))</f>
        <v/>
      </c>
      <c r="F25" s="39">
        <f>MAX(0,C25-E25)</f>
        <v/>
      </c>
      <c r="G25" s="37" t="n">
        <v>2026</v>
      </c>
    </row>
    <row r="26">
      <c r="A26" s="37" t="n">
        <v>3</v>
      </c>
      <c r="B26" s="42" t="n">
        <v>46082</v>
      </c>
      <c r="C26" s="39">
        <f>MAX(0,F25)</f>
        <v/>
      </c>
      <c r="D26" s="39">
        <f>MAX(0,C26*$B$8/12)</f>
        <v/>
      </c>
      <c r="E26" s="39">
        <f>MAX(0,MIN(C26,$B$9-D26))</f>
        <v/>
      </c>
      <c r="F26" s="39">
        <f>MAX(0,C26-E26)</f>
        <v/>
      </c>
      <c r="G26" s="37" t="n">
        <v>2026</v>
      </c>
    </row>
    <row r="27">
      <c r="A27" s="37" t="n">
        <v>4</v>
      </c>
      <c r="B27" s="42" t="n">
        <v>46113</v>
      </c>
      <c r="C27" s="39">
        <f>MAX(0,F26)</f>
        <v/>
      </c>
      <c r="D27" s="39">
        <f>MAX(0,C27*$B$8/12)</f>
        <v/>
      </c>
      <c r="E27" s="39">
        <f>MAX(0,MIN(C27,$B$9-D27))</f>
        <v/>
      </c>
      <c r="F27" s="39">
        <f>MAX(0,C27-E27)</f>
        <v/>
      </c>
      <c r="G27" s="37" t="n">
        <v>2026</v>
      </c>
    </row>
    <row r="28">
      <c r="A28" s="37" t="n">
        <v>5</v>
      </c>
      <c r="B28" s="42" t="n">
        <v>46143</v>
      </c>
      <c r="C28" s="39">
        <f>MAX(0,F27)</f>
        <v/>
      </c>
      <c r="D28" s="39">
        <f>MAX(0,C28*$B$8/12)</f>
        <v/>
      </c>
      <c r="E28" s="39">
        <f>MAX(0,MIN(C28,$B$9-D28))</f>
        <v/>
      </c>
      <c r="F28" s="39">
        <f>MAX(0,C28-E28)</f>
        <v/>
      </c>
      <c r="G28" s="37" t="n">
        <v>2026</v>
      </c>
    </row>
    <row r="29">
      <c r="A29" s="37" t="n">
        <v>6</v>
      </c>
      <c r="B29" s="42" t="n">
        <v>46174</v>
      </c>
      <c r="C29" s="39">
        <f>MAX(0,F28)</f>
        <v/>
      </c>
      <c r="D29" s="39">
        <f>MAX(0,C29*$B$8/12)</f>
        <v/>
      </c>
      <c r="E29" s="39">
        <f>MAX(0,MIN(C29,$B$9-D29))</f>
        <v/>
      </c>
      <c r="F29" s="39">
        <f>MAX(0,C29-E29)</f>
        <v/>
      </c>
      <c r="G29" s="37" t="n">
        <v>2026</v>
      </c>
    </row>
    <row r="30">
      <c r="A30" s="37" t="n">
        <v>7</v>
      </c>
      <c r="B30" s="42" t="n">
        <v>46204</v>
      </c>
      <c r="C30" s="39">
        <f>MAX(0,F29)</f>
        <v/>
      </c>
      <c r="D30" s="39">
        <f>MAX(0,C30*$B$8/12)</f>
        <v/>
      </c>
      <c r="E30" s="39">
        <f>MAX(0,MIN(C30,$B$9-D30))</f>
        <v/>
      </c>
      <c r="F30" s="39">
        <f>MAX(0,C30-E30)</f>
        <v/>
      </c>
      <c r="G30" s="37" t="n">
        <v>2026</v>
      </c>
    </row>
    <row r="31">
      <c r="A31" s="37" t="n">
        <v>8</v>
      </c>
      <c r="B31" s="42" t="n">
        <v>46235</v>
      </c>
      <c r="C31" s="39">
        <f>MAX(0,F30)</f>
        <v/>
      </c>
      <c r="D31" s="39">
        <f>MAX(0,C31*$B$8/12)</f>
        <v/>
      </c>
      <c r="E31" s="39">
        <f>MAX(0,MIN(C31,$B$9-D31))</f>
        <v/>
      </c>
      <c r="F31" s="39">
        <f>MAX(0,C31-E31)</f>
        <v/>
      </c>
      <c r="G31" s="37" t="n">
        <v>2026</v>
      </c>
    </row>
    <row r="32">
      <c r="A32" s="37" t="n">
        <v>9</v>
      </c>
      <c r="B32" s="42" t="n">
        <v>46266</v>
      </c>
      <c r="C32" s="39">
        <f>MAX(0,F31)</f>
        <v/>
      </c>
      <c r="D32" s="39">
        <f>MAX(0,C32*$B$8/12)</f>
        <v/>
      </c>
      <c r="E32" s="39">
        <f>MAX(0,MIN(C32,$B$9-D32))</f>
        <v/>
      </c>
      <c r="F32" s="39">
        <f>MAX(0,C32-E32)</f>
        <v/>
      </c>
      <c r="G32" s="37" t="n">
        <v>2026</v>
      </c>
    </row>
    <row r="33">
      <c r="A33" s="37" t="n">
        <v>10</v>
      </c>
      <c r="B33" s="42" t="n">
        <v>46296</v>
      </c>
      <c r="C33" s="39">
        <f>MAX(0,F32)</f>
        <v/>
      </c>
      <c r="D33" s="39">
        <f>MAX(0,C33*$B$8/12)</f>
        <v/>
      </c>
      <c r="E33" s="39">
        <f>MAX(0,MIN(C33,$B$9-D33))</f>
        <v/>
      </c>
      <c r="F33" s="39">
        <f>MAX(0,C33-E33)</f>
        <v/>
      </c>
      <c r="G33" s="37" t="n">
        <v>2026</v>
      </c>
    </row>
    <row r="34">
      <c r="A34" s="37" t="n">
        <v>11</v>
      </c>
      <c r="B34" s="42" t="n">
        <v>46327</v>
      </c>
      <c r="C34" s="39">
        <f>MAX(0,F33)</f>
        <v/>
      </c>
      <c r="D34" s="39">
        <f>MAX(0,C34*$B$8/12)</f>
        <v/>
      </c>
      <c r="E34" s="39">
        <f>MAX(0,MIN(C34,$B$9-D34))</f>
        <v/>
      </c>
      <c r="F34" s="39">
        <f>MAX(0,C34-E34)</f>
        <v/>
      </c>
      <c r="G34" s="37" t="n">
        <v>2026</v>
      </c>
    </row>
    <row r="35">
      <c r="A35" s="37" t="n">
        <v>12</v>
      </c>
      <c r="B35" s="42" t="n">
        <v>46357</v>
      </c>
      <c r="C35" s="39">
        <f>MAX(0,F34)</f>
        <v/>
      </c>
      <c r="D35" s="39">
        <f>MAX(0,C35*$B$8/12)</f>
        <v/>
      </c>
      <c r="E35" s="39">
        <f>MAX(0,MIN(C35,$B$9-D35))</f>
        <v/>
      </c>
      <c r="F35" s="39">
        <f>MAX(0,C35-E35)</f>
        <v/>
      </c>
      <c r="G35" s="37" t="n">
        <v>2026</v>
      </c>
    </row>
    <row r="36">
      <c r="A36" s="37" t="n">
        <v>13</v>
      </c>
      <c r="B36" s="42" t="n">
        <v>46388</v>
      </c>
      <c r="C36" s="39">
        <f>MAX(0,F35)</f>
        <v/>
      </c>
      <c r="D36" s="39">
        <f>MAX(0,C36*$B$8/12)</f>
        <v/>
      </c>
      <c r="E36" s="39">
        <f>MAX(0,MIN(C36,$B$9-D36))</f>
        <v/>
      </c>
      <c r="F36" s="39">
        <f>MAX(0,C36-E36)</f>
        <v/>
      </c>
      <c r="G36" s="37" t="n">
        <v>2027</v>
      </c>
    </row>
    <row r="37">
      <c r="A37" s="37" t="n">
        <v>14</v>
      </c>
      <c r="B37" s="42" t="n">
        <v>46419</v>
      </c>
      <c r="C37" s="39">
        <f>MAX(0,F36)</f>
        <v/>
      </c>
      <c r="D37" s="39">
        <f>MAX(0,C37*$B$8/12)</f>
        <v/>
      </c>
      <c r="E37" s="39">
        <f>MAX(0,MIN(C37,$B$9-D37))</f>
        <v/>
      </c>
      <c r="F37" s="39">
        <f>MAX(0,C37-E37)</f>
        <v/>
      </c>
      <c r="G37" s="37" t="n">
        <v>2027</v>
      </c>
    </row>
    <row r="38">
      <c r="A38" s="37" t="n">
        <v>15</v>
      </c>
      <c r="B38" s="42" t="n">
        <v>46447</v>
      </c>
      <c r="C38" s="39">
        <f>MAX(0,F37)</f>
        <v/>
      </c>
      <c r="D38" s="39">
        <f>MAX(0,C38*$B$8/12)</f>
        <v/>
      </c>
      <c r="E38" s="39">
        <f>MAX(0,MIN(C38,$B$9-D38))</f>
        <v/>
      </c>
      <c r="F38" s="39">
        <f>MAX(0,C38-E38)</f>
        <v/>
      </c>
      <c r="G38" s="37" t="n">
        <v>2027</v>
      </c>
    </row>
    <row r="39">
      <c r="A39" s="37" t="n">
        <v>16</v>
      </c>
      <c r="B39" s="42" t="n">
        <v>46478</v>
      </c>
      <c r="C39" s="39">
        <f>MAX(0,F38)</f>
        <v/>
      </c>
      <c r="D39" s="39">
        <f>MAX(0,C39*$B$8/12)</f>
        <v/>
      </c>
      <c r="E39" s="39">
        <f>MAX(0,MIN(C39,$B$9-D39))</f>
        <v/>
      </c>
      <c r="F39" s="39">
        <f>MAX(0,C39-E39)</f>
        <v/>
      </c>
      <c r="G39" s="37" t="n">
        <v>2027</v>
      </c>
    </row>
    <row r="40">
      <c r="A40" s="37" t="n">
        <v>17</v>
      </c>
      <c r="B40" s="42" t="n">
        <v>46508</v>
      </c>
      <c r="C40" s="39">
        <f>MAX(0,F39)</f>
        <v/>
      </c>
      <c r="D40" s="39">
        <f>MAX(0,C40*$B$8/12)</f>
        <v/>
      </c>
      <c r="E40" s="39">
        <f>MAX(0,MIN(C40,$B$9-D40))</f>
        <v/>
      </c>
      <c r="F40" s="39">
        <f>MAX(0,C40-E40)</f>
        <v/>
      </c>
      <c r="G40" s="37" t="n">
        <v>2027</v>
      </c>
    </row>
    <row r="41">
      <c r="A41" s="37" t="n">
        <v>18</v>
      </c>
      <c r="B41" s="42" t="n">
        <v>46539</v>
      </c>
      <c r="C41" s="39">
        <f>MAX(0,F40)</f>
        <v/>
      </c>
      <c r="D41" s="39">
        <f>MAX(0,C41*$B$8/12)</f>
        <v/>
      </c>
      <c r="E41" s="39">
        <f>MAX(0,MIN(C41,$B$9-D41))</f>
        <v/>
      </c>
      <c r="F41" s="39">
        <f>MAX(0,C41-E41)</f>
        <v/>
      </c>
      <c r="G41" s="37" t="n">
        <v>2027</v>
      </c>
    </row>
    <row r="42">
      <c r="A42" s="37" t="n">
        <v>19</v>
      </c>
      <c r="B42" s="42" t="n">
        <v>46569</v>
      </c>
      <c r="C42" s="39">
        <f>MAX(0,F41)</f>
        <v/>
      </c>
      <c r="D42" s="39">
        <f>MAX(0,C42*$B$8/12)</f>
        <v/>
      </c>
      <c r="E42" s="39">
        <f>MAX(0,MIN(C42,$B$9-D42))</f>
        <v/>
      </c>
      <c r="F42" s="39">
        <f>MAX(0,C42-E42)</f>
        <v/>
      </c>
      <c r="G42" s="37" t="n">
        <v>2027</v>
      </c>
    </row>
    <row r="43">
      <c r="A43" s="37" t="n">
        <v>20</v>
      </c>
      <c r="B43" s="42" t="n">
        <v>46600</v>
      </c>
      <c r="C43" s="39">
        <f>MAX(0,F42)</f>
        <v/>
      </c>
      <c r="D43" s="39">
        <f>MAX(0,C43*$B$8/12)</f>
        <v/>
      </c>
      <c r="E43" s="39">
        <f>MAX(0,MIN(C43,$B$9-D43))</f>
        <v/>
      </c>
      <c r="F43" s="39">
        <f>MAX(0,C43-E43)</f>
        <v/>
      </c>
      <c r="G43" s="37" t="n">
        <v>2027</v>
      </c>
    </row>
    <row r="44">
      <c r="A44" s="37" t="n">
        <v>21</v>
      </c>
      <c r="B44" s="42" t="n">
        <v>46631</v>
      </c>
      <c r="C44" s="39">
        <f>MAX(0,F43)</f>
        <v/>
      </c>
      <c r="D44" s="39">
        <f>MAX(0,C44*$B$8/12)</f>
        <v/>
      </c>
      <c r="E44" s="39">
        <f>MAX(0,MIN(C44,$B$9-D44))</f>
        <v/>
      </c>
      <c r="F44" s="39">
        <f>MAX(0,C44-E44)</f>
        <v/>
      </c>
      <c r="G44" s="37" t="n">
        <v>2027</v>
      </c>
    </row>
    <row r="45">
      <c r="A45" s="37" t="n">
        <v>22</v>
      </c>
      <c r="B45" s="42" t="n">
        <v>46661</v>
      </c>
      <c r="C45" s="39">
        <f>MAX(0,F44)</f>
        <v/>
      </c>
      <c r="D45" s="39">
        <f>MAX(0,C45*$B$8/12)</f>
        <v/>
      </c>
      <c r="E45" s="39">
        <f>MAX(0,MIN(C45,$B$9-D45))</f>
        <v/>
      </c>
      <c r="F45" s="39">
        <f>MAX(0,C45-E45)</f>
        <v/>
      </c>
      <c r="G45" s="37" t="n">
        <v>2027</v>
      </c>
    </row>
    <row r="46">
      <c r="A46" s="37" t="n">
        <v>23</v>
      </c>
      <c r="B46" s="42" t="n">
        <v>46692</v>
      </c>
      <c r="C46" s="39">
        <f>MAX(0,F45)</f>
        <v/>
      </c>
      <c r="D46" s="39">
        <f>MAX(0,C46*$B$8/12)</f>
        <v/>
      </c>
      <c r="E46" s="39">
        <f>MAX(0,MIN(C46,$B$9-D46))</f>
        <v/>
      </c>
      <c r="F46" s="39">
        <f>MAX(0,C46-E46)</f>
        <v/>
      </c>
      <c r="G46" s="37" t="n">
        <v>2027</v>
      </c>
    </row>
    <row r="47">
      <c r="A47" s="37" t="n">
        <v>24</v>
      </c>
      <c r="B47" s="42" t="n">
        <v>46722</v>
      </c>
      <c r="C47" s="39">
        <f>MAX(0,F46)</f>
        <v/>
      </c>
      <c r="D47" s="39">
        <f>MAX(0,C47*$B$8/12)</f>
        <v/>
      </c>
      <c r="E47" s="39">
        <f>MAX(0,MIN(C47,$B$9-D47))</f>
        <v/>
      </c>
      <c r="F47" s="39">
        <f>MAX(0,C47-E47)</f>
        <v/>
      </c>
      <c r="G47" s="37" t="n">
        <v>2027</v>
      </c>
    </row>
    <row r="48">
      <c r="A48" s="37" t="n">
        <v>25</v>
      </c>
      <c r="B48" s="42" t="n">
        <v>46753</v>
      </c>
      <c r="C48" s="39">
        <f>MAX(0,F47)</f>
        <v/>
      </c>
      <c r="D48" s="39">
        <f>MAX(0,C48*$B$8/12)</f>
        <v/>
      </c>
      <c r="E48" s="39">
        <f>MAX(0,MIN(C48,$B$9-D48))</f>
        <v/>
      </c>
      <c r="F48" s="39">
        <f>MAX(0,C48-E48)</f>
        <v/>
      </c>
      <c r="G48" s="37" t="n">
        <v>2028</v>
      </c>
    </row>
    <row r="49">
      <c r="A49" s="37" t="n">
        <v>26</v>
      </c>
      <c r="B49" s="42" t="n">
        <v>46784</v>
      </c>
      <c r="C49" s="39">
        <f>MAX(0,F48)</f>
        <v/>
      </c>
      <c r="D49" s="39">
        <f>MAX(0,C49*$B$8/12)</f>
        <v/>
      </c>
      <c r="E49" s="39">
        <f>MAX(0,MIN(C49,$B$9-D49))</f>
        <v/>
      </c>
      <c r="F49" s="39">
        <f>MAX(0,C49-E49)</f>
        <v/>
      </c>
      <c r="G49" s="37" t="n">
        <v>2028</v>
      </c>
    </row>
    <row r="50">
      <c r="A50" s="37" t="n">
        <v>27</v>
      </c>
      <c r="B50" s="42" t="n">
        <v>46813</v>
      </c>
      <c r="C50" s="39">
        <f>MAX(0,F49)</f>
        <v/>
      </c>
      <c r="D50" s="39">
        <f>MAX(0,C50*$B$8/12)</f>
        <v/>
      </c>
      <c r="E50" s="39">
        <f>MAX(0,MIN(C50,$B$9-D50))</f>
        <v/>
      </c>
      <c r="F50" s="39">
        <f>MAX(0,C50-E50)</f>
        <v/>
      </c>
      <c r="G50" s="37" t="n">
        <v>2028</v>
      </c>
    </row>
    <row r="51">
      <c r="A51" s="37" t="n">
        <v>28</v>
      </c>
      <c r="B51" s="42" t="n">
        <v>46844</v>
      </c>
      <c r="C51" s="39">
        <f>MAX(0,F50)</f>
        <v/>
      </c>
      <c r="D51" s="39">
        <f>MAX(0,C51*$B$8/12)</f>
        <v/>
      </c>
      <c r="E51" s="39">
        <f>MAX(0,MIN(C51,$B$9-D51))</f>
        <v/>
      </c>
      <c r="F51" s="39">
        <f>MAX(0,C51-E51)</f>
        <v/>
      </c>
      <c r="G51" s="37" t="n">
        <v>2028</v>
      </c>
    </row>
    <row r="52">
      <c r="A52" s="37" t="n">
        <v>29</v>
      </c>
      <c r="B52" s="42" t="n">
        <v>46874</v>
      </c>
      <c r="C52" s="39">
        <f>MAX(0,F51)</f>
        <v/>
      </c>
      <c r="D52" s="39">
        <f>MAX(0,C52*$B$8/12)</f>
        <v/>
      </c>
      <c r="E52" s="39">
        <f>MAX(0,MIN(C52,$B$9-D52))</f>
        <v/>
      </c>
      <c r="F52" s="39">
        <f>MAX(0,C52-E52)</f>
        <v/>
      </c>
      <c r="G52" s="37" t="n">
        <v>2028</v>
      </c>
    </row>
    <row r="53">
      <c r="A53" s="37" t="n">
        <v>30</v>
      </c>
      <c r="B53" s="42" t="n">
        <v>46905</v>
      </c>
      <c r="C53" s="39">
        <f>MAX(0,F52)</f>
        <v/>
      </c>
      <c r="D53" s="39">
        <f>MAX(0,C53*$B$8/12)</f>
        <v/>
      </c>
      <c r="E53" s="39">
        <f>MAX(0,MIN(C53,$B$9-D53))</f>
        <v/>
      </c>
      <c r="F53" s="39">
        <f>MAX(0,C53-E53)</f>
        <v/>
      </c>
      <c r="G53" s="37" t="n">
        <v>2028</v>
      </c>
    </row>
    <row r="54">
      <c r="A54" s="37" t="n">
        <v>31</v>
      </c>
      <c r="B54" s="42" t="n">
        <v>46935</v>
      </c>
      <c r="C54" s="39">
        <f>MAX(0,F53)</f>
        <v/>
      </c>
      <c r="D54" s="39">
        <f>MAX(0,C54*$B$8/12)</f>
        <v/>
      </c>
      <c r="E54" s="39">
        <f>MAX(0,MIN(C54,$B$9-D54))</f>
        <v/>
      </c>
      <c r="F54" s="39">
        <f>MAX(0,C54-E54)</f>
        <v/>
      </c>
      <c r="G54" s="37" t="n">
        <v>2028</v>
      </c>
    </row>
    <row r="55">
      <c r="A55" s="37" t="n">
        <v>32</v>
      </c>
      <c r="B55" s="42" t="n">
        <v>46966</v>
      </c>
      <c r="C55" s="39">
        <f>MAX(0,F54)</f>
        <v/>
      </c>
      <c r="D55" s="39">
        <f>MAX(0,C55*$B$8/12)</f>
        <v/>
      </c>
      <c r="E55" s="39">
        <f>MAX(0,MIN(C55,$B$9-D55))</f>
        <v/>
      </c>
      <c r="F55" s="39">
        <f>MAX(0,C55-E55)</f>
        <v/>
      </c>
      <c r="G55" s="37" t="n">
        <v>2028</v>
      </c>
    </row>
    <row r="56">
      <c r="A56" s="37" t="n">
        <v>33</v>
      </c>
      <c r="B56" s="42" t="n">
        <v>46997</v>
      </c>
      <c r="C56" s="39">
        <f>MAX(0,F55)</f>
        <v/>
      </c>
      <c r="D56" s="39">
        <f>MAX(0,C56*$B$8/12)</f>
        <v/>
      </c>
      <c r="E56" s="39">
        <f>MAX(0,MIN(C56,$B$9-D56))</f>
        <v/>
      </c>
      <c r="F56" s="39">
        <f>MAX(0,C56-E56)</f>
        <v/>
      </c>
      <c r="G56" s="37" t="n">
        <v>2028</v>
      </c>
    </row>
    <row r="57">
      <c r="A57" s="37" t="n">
        <v>34</v>
      </c>
      <c r="B57" s="42" t="n">
        <v>47027</v>
      </c>
      <c r="C57" s="39">
        <f>MAX(0,F56)</f>
        <v/>
      </c>
      <c r="D57" s="39">
        <f>MAX(0,C57*$B$8/12)</f>
        <v/>
      </c>
      <c r="E57" s="39">
        <f>MAX(0,MIN(C57,$B$9-D57))</f>
        <v/>
      </c>
      <c r="F57" s="39">
        <f>MAX(0,C57-E57)</f>
        <v/>
      </c>
      <c r="G57" s="37" t="n">
        <v>2028</v>
      </c>
    </row>
    <row r="58">
      <c r="A58" s="37" t="n">
        <v>35</v>
      </c>
      <c r="B58" s="42" t="n">
        <v>47058</v>
      </c>
      <c r="C58" s="39">
        <f>MAX(0,F57)</f>
        <v/>
      </c>
      <c r="D58" s="39">
        <f>MAX(0,C58*$B$8/12)</f>
        <v/>
      </c>
      <c r="E58" s="39">
        <f>MAX(0,MIN(C58,$B$9-D58))</f>
        <v/>
      </c>
      <c r="F58" s="39">
        <f>MAX(0,C58-E58)</f>
        <v/>
      </c>
      <c r="G58" s="37" t="n">
        <v>2028</v>
      </c>
    </row>
    <row r="59">
      <c r="A59" s="37" t="n">
        <v>36</v>
      </c>
      <c r="B59" s="42" t="n">
        <v>47088</v>
      </c>
      <c r="C59" s="39">
        <f>MAX(0,F58)</f>
        <v/>
      </c>
      <c r="D59" s="39">
        <f>MAX(0,C59*$B$8/12)</f>
        <v/>
      </c>
      <c r="E59" s="39">
        <f>MAX(0,MIN(C59,$B$9-D59))</f>
        <v/>
      </c>
      <c r="F59" s="39">
        <f>MAX(0,C59-E59)</f>
        <v/>
      </c>
      <c r="G59" s="37" t="n">
        <v>2028</v>
      </c>
    </row>
    <row r="60">
      <c r="A60" s="37" t="n">
        <v>37</v>
      </c>
      <c r="B60" s="42" t="n">
        <v>47119</v>
      </c>
      <c r="C60" s="39">
        <f>MAX(0,F59)</f>
        <v/>
      </c>
      <c r="D60" s="39">
        <f>MAX(0,C60*$B$8/12)</f>
        <v/>
      </c>
      <c r="E60" s="39">
        <f>MAX(0,MIN(C60,$B$9-D60))</f>
        <v/>
      </c>
      <c r="F60" s="39">
        <f>MAX(0,C60-E60)</f>
        <v/>
      </c>
      <c r="G60" s="37" t="n">
        <v>2029</v>
      </c>
    </row>
    <row r="61">
      <c r="A61" s="37" t="n">
        <v>38</v>
      </c>
      <c r="B61" s="42" t="n">
        <v>47150</v>
      </c>
      <c r="C61" s="39">
        <f>MAX(0,F60)</f>
        <v/>
      </c>
      <c r="D61" s="39">
        <f>MAX(0,C61*$B$8/12)</f>
        <v/>
      </c>
      <c r="E61" s="39">
        <f>MAX(0,MIN(C61,$B$9-D61))</f>
        <v/>
      </c>
      <c r="F61" s="39">
        <f>MAX(0,C61-E61)</f>
        <v/>
      </c>
      <c r="G61" s="37" t="n">
        <v>2029</v>
      </c>
    </row>
    <row r="62">
      <c r="A62" s="37" t="n">
        <v>39</v>
      </c>
      <c r="B62" s="42" t="n">
        <v>47178</v>
      </c>
      <c r="C62" s="39">
        <f>MAX(0,F61)</f>
        <v/>
      </c>
      <c r="D62" s="39">
        <f>MAX(0,C62*$B$8/12)</f>
        <v/>
      </c>
      <c r="E62" s="39">
        <f>MAX(0,MIN(C62,$B$9-D62))</f>
        <v/>
      </c>
      <c r="F62" s="39">
        <f>MAX(0,C62-E62)</f>
        <v/>
      </c>
      <c r="G62" s="37" t="n">
        <v>2029</v>
      </c>
    </row>
    <row r="63">
      <c r="A63" s="37" t="n">
        <v>40</v>
      </c>
      <c r="B63" s="42" t="n">
        <v>47209</v>
      </c>
      <c r="C63" s="39">
        <f>MAX(0,F62)</f>
        <v/>
      </c>
      <c r="D63" s="39">
        <f>MAX(0,C63*$B$8/12)</f>
        <v/>
      </c>
      <c r="E63" s="39">
        <f>MAX(0,MIN(C63,$B$9-D63))</f>
        <v/>
      </c>
      <c r="F63" s="39">
        <f>MAX(0,C63-E63)</f>
        <v/>
      </c>
      <c r="G63" s="37" t="n">
        <v>2029</v>
      </c>
    </row>
    <row r="64">
      <c r="A64" s="37" t="n">
        <v>41</v>
      </c>
      <c r="B64" s="42" t="n">
        <v>47239</v>
      </c>
      <c r="C64" s="39">
        <f>MAX(0,F63)</f>
        <v/>
      </c>
      <c r="D64" s="39">
        <f>MAX(0,C64*$B$8/12)</f>
        <v/>
      </c>
      <c r="E64" s="39">
        <f>MAX(0,MIN(C64,$B$9-D64))</f>
        <v/>
      </c>
      <c r="F64" s="39">
        <f>MAX(0,C64-E64)</f>
        <v/>
      </c>
      <c r="G64" s="37" t="n">
        <v>2029</v>
      </c>
    </row>
    <row r="65">
      <c r="A65" s="37" t="n">
        <v>42</v>
      </c>
      <c r="B65" s="42" t="n">
        <v>47270</v>
      </c>
      <c r="C65" s="39">
        <f>MAX(0,F64)</f>
        <v/>
      </c>
      <c r="D65" s="39">
        <f>MAX(0,C65*$B$8/12)</f>
        <v/>
      </c>
      <c r="E65" s="39">
        <f>MAX(0,MIN(C65,$B$9-D65))</f>
        <v/>
      </c>
      <c r="F65" s="39">
        <f>MAX(0,C65-E65)</f>
        <v/>
      </c>
      <c r="G65" s="37" t="n">
        <v>2029</v>
      </c>
    </row>
    <row r="66">
      <c r="A66" s="37" t="n">
        <v>43</v>
      </c>
      <c r="B66" s="42" t="n">
        <v>47300</v>
      </c>
      <c r="C66" s="39">
        <f>MAX(0,F65)</f>
        <v/>
      </c>
      <c r="D66" s="39">
        <f>MAX(0,C66*$B$8/12)</f>
        <v/>
      </c>
      <c r="E66" s="39">
        <f>MAX(0,MIN(C66,$B$9-D66))</f>
        <v/>
      </c>
      <c r="F66" s="39">
        <f>MAX(0,C66-E66)</f>
        <v/>
      </c>
      <c r="G66" s="37" t="n">
        <v>2029</v>
      </c>
    </row>
    <row r="67">
      <c r="A67" s="37" t="n">
        <v>44</v>
      </c>
      <c r="B67" s="42" t="n">
        <v>47331</v>
      </c>
      <c r="C67" s="39">
        <f>MAX(0,F66)</f>
        <v/>
      </c>
      <c r="D67" s="39">
        <f>MAX(0,C67*$B$8/12)</f>
        <v/>
      </c>
      <c r="E67" s="39">
        <f>MAX(0,MIN(C67,$B$9-D67))</f>
        <v/>
      </c>
      <c r="F67" s="39">
        <f>MAX(0,C67-E67)</f>
        <v/>
      </c>
      <c r="G67" s="37" t="n">
        <v>2029</v>
      </c>
    </row>
    <row r="68">
      <c r="A68" s="37" t="n">
        <v>45</v>
      </c>
      <c r="B68" s="42" t="n">
        <v>47362</v>
      </c>
      <c r="C68" s="39">
        <f>MAX(0,F67)</f>
        <v/>
      </c>
      <c r="D68" s="39">
        <f>MAX(0,C68*$B$8/12)</f>
        <v/>
      </c>
      <c r="E68" s="39">
        <f>MAX(0,MIN(C68,$B$9-D68))</f>
        <v/>
      </c>
      <c r="F68" s="39">
        <f>MAX(0,C68-E68)</f>
        <v/>
      </c>
      <c r="G68" s="37" t="n">
        <v>2029</v>
      </c>
    </row>
    <row r="69">
      <c r="A69" s="37" t="n">
        <v>46</v>
      </c>
      <c r="B69" s="42" t="n">
        <v>47392</v>
      </c>
      <c r="C69" s="39">
        <f>MAX(0,F68)</f>
        <v/>
      </c>
      <c r="D69" s="39">
        <f>MAX(0,C69*$B$8/12)</f>
        <v/>
      </c>
      <c r="E69" s="39">
        <f>MAX(0,MIN(C69,$B$9-D69))</f>
        <v/>
      </c>
      <c r="F69" s="39">
        <f>MAX(0,C69-E69)</f>
        <v/>
      </c>
      <c r="G69" s="37" t="n">
        <v>2029</v>
      </c>
    </row>
    <row r="70">
      <c r="A70" s="37" t="n">
        <v>47</v>
      </c>
      <c r="B70" s="42" t="n">
        <v>47423</v>
      </c>
      <c r="C70" s="39">
        <f>MAX(0,F69)</f>
        <v/>
      </c>
      <c r="D70" s="39">
        <f>MAX(0,C70*$B$8/12)</f>
        <v/>
      </c>
      <c r="E70" s="39">
        <f>MAX(0,MIN(C70,$B$9-D70))</f>
        <v/>
      </c>
      <c r="F70" s="39">
        <f>MAX(0,C70-E70)</f>
        <v/>
      </c>
      <c r="G70" s="37" t="n">
        <v>2029</v>
      </c>
    </row>
    <row r="71">
      <c r="A71" s="37" t="n">
        <v>48</v>
      </c>
      <c r="B71" s="42" t="n">
        <v>47453</v>
      </c>
      <c r="C71" s="39">
        <f>MAX(0,F70)</f>
        <v/>
      </c>
      <c r="D71" s="39">
        <f>MAX(0,C71*$B$8/12)</f>
        <v/>
      </c>
      <c r="E71" s="39">
        <f>MAX(0,MIN(C71,$B$9-D71))</f>
        <v/>
      </c>
      <c r="F71" s="39">
        <f>MAX(0,C71-E71)</f>
        <v/>
      </c>
      <c r="G71" s="37" t="n">
        <v>2029</v>
      </c>
    </row>
    <row r="72">
      <c r="A72" s="37" t="n">
        <v>49</v>
      </c>
      <c r="B72" s="42" t="n">
        <v>47484</v>
      </c>
      <c r="C72" s="39">
        <f>MAX(0,F71)</f>
        <v/>
      </c>
      <c r="D72" s="39">
        <f>MAX(0,C72*$B$8/12)</f>
        <v/>
      </c>
      <c r="E72" s="39">
        <f>MAX(0,MIN(C72,$B$9-D72))</f>
        <v/>
      </c>
      <c r="F72" s="39">
        <f>MAX(0,C72-E72)</f>
        <v/>
      </c>
      <c r="G72" s="37" t="n">
        <v>2030</v>
      </c>
    </row>
    <row r="73">
      <c r="A73" s="37" t="n">
        <v>50</v>
      </c>
      <c r="B73" s="42" t="n">
        <v>47515</v>
      </c>
      <c r="C73" s="39">
        <f>MAX(0,F72)</f>
        <v/>
      </c>
      <c r="D73" s="39">
        <f>MAX(0,C73*$B$8/12)</f>
        <v/>
      </c>
      <c r="E73" s="39">
        <f>MAX(0,MIN(C73,$B$9-D73))</f>
        <v/>
      </c>
      <c r="F73" s="39">
        <f>MAX(0,C73-E73)</f>
        <v/>
      </c>
      <c r="G73" s="37" t="n">
        <v>2030</v>
      </c>
    </row>
    <row r="74">
      <c r="A74" s="37" t="n">
        <v>51</v>
      </c>
      <c r="B74" s="42" t="n">
        <v>47543</v>
      </c>
      <c r="C74" s="39">
        <f>MAX(0,F73)</f>
        <v/>
      </c>
      <c r="D74" s="39">
        <f>MAX(0,C74*$B$8/12)</f>
        <v/>
      </c>
      <c r="E74" s="39">
        <f>MAX(0,MIN(C74,$B$9-D74))</f>
        <v/>
      </c>
      <c r="F74" s="39">
        <f>MAX(0,C74-E74)</f>
        <v/>
      </c>
      <c r="G74" s="37" t="n">
        <v>2030</v>
      </c>
    </row>
    <row r="75">
      <c r="A75" s="37" t="n">
        <v>52</v>
      </c>
      <c r="B75" s="42" t="n">
        <v>47574</v>
      </c>
      <c r="C75" s="39">
        <f>MAX(0,F74)</f>
        <v/>
      </c>
      <c r="D75" s="39">
        <f>MAX(0,C75*$B$8/12)</f>
        <v/>
      </c>
      <c r="E75" s="39">
        <f>MAX(0,MIN(C75,$B$9-D75))</f>
        <v/>
      </c>
      <c r="F75" s="39">
        <f>MAX(0,C75-E75)</f>
        <v/>
      </c>
      <c r="G75" s="37" t="n">
        <v>2030</v>
      </c>
    </row>
    <row r="76">
      <c r="A76" s="37" t="n">
        <v>53</v>
      </c>
      <c r="B76" s="42" t="n">
        <v>47604</v>
      </c>
      <c r="C76" s="39">
        <f>MAX(0,F75)</f>
        <v/>
      </c>
      <c r="D76" s="39">
        <f>MAX(0,C76*$B$8/12)</f>
        <v/>
      </c>
      <c r="E76" s="39">
        <f>MAX(0,MIN(C76,$B$9-D76))</f>
        <v/>
      </c>
      <c r="F76" s="39">
        <f>MAX(0,C76-E76)</f>
        <v/>
      </c>
      <c r="G76" s="37" t="n">
        <v>2030</v>
      </c>
    </row>
    <row r="77">
      <c r="A77" s="37" t="n">
        <v>54</v>
      </c>
      <c r="B77" s="42" t="n">
        <v>47635</v>
      </c>
      <c r="C77" s="39">
        <f>MAX(0,F76)</f>
        <v/>
      </c>
      <c r="D77" s="39">
        <f>MAX(0,C77*$B$8/12)</f>
        <v/>
      </c>
      <c r="E77" s="39">
        <f>MAX(0,MIN(C77,$B$9-D77))</f>
        <v/>
      </c>
      <c r="F77" s="39">
        <f>MAX(0,C77-E77)</f>
        <v/>
      </c>
      <c r="G77" s="37" t="n">
        <v>2030</v>
      </c>
    </row>
    <row r="78">
      <c r="A78" s="37" t="n">
        <v>55</v>
      </c>
      <c r="B78" s="42" t="n">
        <v>47665</v>
      </c>
      <c r="C78" s="39">
        <f>MAX(0,F77)</f>
        <v/>
      </c>
      <c r="D78" s="39">
        <f>MAX(0,C78*$B$8/12)</f>
        <v/>
      </c>
      <c r="E78" s="39">
        <f>MAX(0,MIN(C78,$B$9-D78))</f>
        <v/>
      </c>
      <c r="F78" s="39">
        <f>MAX(0,C78-E78)</f>
        <v/>
      </c>
      <c r="G78" s="37" t="n">
        <v>2030</v>
      </c>
    </row>
    <row r="79">
      <c r="A79" s="37" t="n">
        <v>56</v>
      </c>
      <c r="B79" s="42" t="n">
        <v>47696</v>
      </c>
      <c r="C79" s="39">
        <f>MAX(0,F78)</f>
        <v/>
      </c>
      <c r="D79" s="39">
        <f>MAX(0,C79*$B$8/12)</f>
        <v/>
      </c>
      <c r="E79" s="39">
        <f>MAX(0,MIN(C79,$B$9-D79))</f>
        <v/>
      </c>
      <c r="F79" s="39">
        <f>MAX(0,C79-E79)</f>
        <v/>
      </c>
      <c r="G79" s="37" t="n">
        <v>2030</v>
      </c>
    </row>
    <row r="80">
      <c r="A80" s="37" t="n">
        <v>57</v>
      </c>
      <c r="B80" s="42" t="n">
        <v>47727</v>
      </c>
      <c r="C80" s="39">
        <f>MAX(0,F79)</f>
        <v/>
      </c>
      <c r="D80" s="39">
        <f>MAX(0,C80*$B$8/12)</f>
        <v/>
      </c>
      <c r="E80" s="39">
        <f>MAX(0,MIN(C80,$B$9-D80))</f>
        <v/>
      </c>
      <c r="F80" s="39">
        <f>MAX(0,C80-E80)</f>
        <v/>
      </c>
      <c r="G80" s="37" t="n">
        <v>2030</v>
      </c>
    </row>
    <row r="81">
      <c r="A81" s="37" t="n">
        <v>58</v>
      </c>
      <c r="B81" s="42" t="n">
        <v>47757</v>
      </c>
      <c r="C81" s="39">
        <f>MAX(0,F80)</f>
        <v/>
      </c>
      <c r="D81" s="39">
        <f>MAX(0,C81*$B$8/12)</f>
        <v/>
      </c>
      <c r="E81" s="39">
        <f>MAX(0,MIN(C81,$B$9-D81))</f>
        <v/>
      </c>
      <c r="F81" s="39">
        <f>MAX(0,C81-E81)</f>
        <v/>
      </c>
      <c r="G81" s="37" t="n">
        <v>2030</v>
      </c>
    </row>
    <row r="82">
      <c r="A82" s="37" t="n">
        <v>59</v>
      </c>
      <c r="B82" s="42" t="n">
        <v>47788</v>
      </c>
      <c r="C82" s="39">
        <f>MAX(0,F81)</f>
        <v/>
      </c>
      <c r="D82" s="39">
        <f>MAX(0,C82*$B$8/12)</f>
        <v/>
      </c>
      <c r="E82" s="39">
        <f>MAX(0,MIN(C82,$B$9-D82))</f>
        <v/>
      </c>
      <c r="F82" s="39">
        <f>MAX(0,C82-E82)</f>
        <v/>
      </c>
      <c r="G82" s="37" t="n">
        <v>2030</v>
      </c>
    </row>
    <row r="83">
      <c r="A83" s="37" t="n">
        <v>60</v>
      </c>
      <c r="B83" s="42" t="n">
        <v>47818</v>
      </c>
      <c r="C83" s="39">
        <f>MAX(0,F82)</f>
        <v/>
      </c>
      <c r="D83" s="39">
        <f>MAX(0,C83*$B$8/12)</f>
        <v/>
      </c>
      <c r="E83" s="39">
        <f>MAX(0,MIN(C83,$B$9-D83))</f>
        <v/>
      </c>
      <c r="F83" s="39">
        <f>MAX(0,C83-E83)</f>
        <v/>
      </c>
      <c r="G83" s="37" t="n">
        <v>2030</v>
      </c>
    </row>
    <row r="84">
      <c r="A84" s="37" t="n">
        <v>61</v>
      </c>
      <c r="B84" s="42" t="n">
        <v>47849</v>
      </c>
      <c r="C84" s="39">
        <f>MAX(0,F83)</f>
        <v/>
      </c>
      <c r="D84" s="39">
        <f>MAX(0,C84*$B$8/12)</f>
        <v/>
      </c>
      <c r="E84" s="39">
        <f>MAX(0,MIN(C84,$B$9-D84))</f>
        <v/>
      </c>
      <c r="F84" s="39">
        <f>MAX(0,C84-E84)</f>
        <v/>
      </c>
      <c r="G84" s="37" t="n">
        <v>2031</v>
      </c>
    </row>
    <row r="85">
      <c r="A85" s="37" t="n">
        <v>62</v>
      </c>
      <c r="B85" s="42" t="n">
        <v>47880</v>
      </c>
      <c r="C85" s="39">
        <f>MAX(0,F84)</f>
        <v/>
      </c>
      <c r="D85" s="39">
        <f>MAX(0,C85*$B$8/12)</f>
        <v/>
      </c>
      <c r="E85" s="39">
        <f>MAX(0,MIN(C85,$B$9-D85))</f>
        <v/>
      </c>
      <c r="F85" s="39">
        <f>MAX(0,C85-E85)</f>
        <v/>
      </c>
      <c r="G85" s="37" t="n">
        <v>2031</v>
      </c>
    </row>
    <row r="86">
      <c r="A86" s="37" t="n">
        <v>63</v>
      </c>
      <c r="B86" s="42" t="n">
        <v>47908</v>
      </c>
      <c r="C86" s="39">
        <f>MAX(0,F85)</f>
        <v/>
      </c>
      <c r="D86" s="39">
        <f>MAX(0,C86*$B$8/12)</f>
        <v/>
      </c>
      <c r="E86" s="39">
        <f>MAX(0,MIN(C86,$B$9-D86))</f>
        <v/>
      </c>
      <c r="F86" s="39">
        <f>MAX(0,C86-E86)</f>
        <v/>
      </c>
      <c r="G86" s="37" t="n">
        <v>2031</v>
      </c>
    </row>
    <row r="87">
      <c r="A87" s="37" t="n">
        <v>64</v>
      </c>
      <c r="B87" s="42" t="n">
        <v>47939</v>
      </c>
      <c r="C87" s="39">
        <f>MAX(0,F86)</f>
        <v/>
      </c>
      <c r="D87" s="39">
        <f>MAX(0,C87*$B$8/12)</f>
        <v/>
      </c>
      <c r="E87" s="39">
        <f>MAX(0,MIN(C87,$B$9-D87))</f>
        <v/>
      </c>
      <c r="F87" s="39">
        <f>MAX(0,C87-E87)</f>
        <v/>
      </c>
      <c r="G87" s="37" t="n">
        <v>2031</v>
      </c>
    </row>
    <row r="88">
      <c r="A88" s="37" t="n">
        <v>65</v>
      </c>
      <c r="B88" s="42" t="n">
        <v>47969</v>
      </c>
      <c r="C88" s="39">
        <f>MAX(0,F87)</f>
        <v/>
      </c>
      <c r="D88" s="39">
        <f>MAX(0,C88*$B$8/12)</f>
        <v/>
      </c>
      <c r="E88" s="39">
        <f>MAX(0,MIN(C88,$B$9-D88))</f>
        <v/>
      </c>
      <c r="F88" s="39">
        <f>MAX(0,C88-E88)</f>
        <v/>
      </c>
      <c r="G88" s="37" t="n">
        <v>2031</v>
      </c>
    </row>
    <row r="89">
      <c r="A89" s="37" t="n">
        <v>66</v>
      </c>
      <c r="B89" s="42" t="n">
        <v>48000</v>
      </c>
      <c r="C89" s="39">
        <f>MAX(0,F88)</f>
        <v/>
      </c>
      <c r="D89" s="39">
        <f>MAX(0,C89*$B$8/12)</f>
        <v/>
      </c>
      <c r="E89" s="39">
        <f>MAX(0,MIN(C89,$B$9-D89))</f>
        <v/>
      </c>
      <c r="F89" s="39">
        <f>MAX(0,C89-E89)</f>
        <v/>
      </c>
      <c r="G89" s="37" t="n">
        <v>2031</v>
      </c>
    </row>
    <row r="90">
      <c r="A90" s="37" t="n">
        <v>67</v>
      </c>
      <c r="B90" s="42" t="n">
        <v>48030</v>
      </c>
      <c r="C90" s="39">
        <f>MAX(0,F89)</f>
        <v/>
      </c>
      <c r="D90" s="39">
        <f>MAX(0,C90*$B$8/12)</f>
        <v/>
      </c>
      <c r="E90" s="39">
        <f>MAX(0,MIN(C90,$B$9-D90))</f>
        <v/>
      </c>
      <c r="F90" s="39">
        <f>MAX(0,C90-E90)</f>
        <v/>
      </c>
      <c r="G90" s="37" t="n">
        <v>2031</v>
      </c>
    </row>
    <row r="91">
      <c r="A91" s="37" t="n">
        <v>68</v>
      </c>
      <c r="B91" s="42" t="n">
        <v>48061</v>
      </c>
      <c r="C91" s="39">
        <f>MAX(0,F90)</f>
        <v/>
      </c>
      <c r="D91" s="39">
        <f>MAX(0,C91*$B$8/12)</f>
        <v/>
      </c>
      <c r="E91" s="39">
        <f>MAX(0,MIN(C91,$B$9-D91))</f>
        <v/>
      </c>
      <c r="F91" s="39">
        <f>MAX(0,C91-E91)</f>
        <v/>
      </c>
      <c r="G91" s="37" t="n">
        <v>2031</v>
      </c>
    </row>
    <row r="94">
      <c r="A94" s="2" t="inlineStr">
        <is>
          <t>ANNUAL SUMMARY</t>
        </is>
      </c>
    </row>
    <row r="95">
      <c r="A95" s="40" t="inlineStr">
        <is>
          <t>Year</t>
        </is>
      </c>
      <c r="B95" s="40" t="inlineStr">
        <is>
          <t>Beginning Balance</t>
        </is>
      </c>
      <c r="C95" s="40" t="inlineStr">
        <is>
          <t>Total Interest</t>
        </is>
      </c>
      <c r="D95" s="40" t="inlineStr">
        <is>
          <t>Total Principal</t>
        </is>
      </c>
      <c r="E95" s="40" t="inlineStr">
        <is>
          <t>Ending Balance</t>
        </is>
      </c>
    </row>
    <row r="96">
      <c r="A96" s="37" t="n">
        <v>2026</v>
      </c>
      <c r="B96" s="39">
        <f>C24</f>
        <v/>
      </c>
      <c r="C96" s="39">
        <f>SUM(D24:D35)</f>
        <v/>
      </c>
      <c r="D96" s="39">
        <f>SUM(E24:E35)</f>
        <v/>
      </c>
      <c r="E96" s="39">
        <f>F35</f>
        <v/>
      </c>
    </row>
    <row r="97">
      <c r="A97" s="37" t="n">
        <v>2027</v>
      </c>
      <c r="B97" s="39">
        <f>C36</f>
        <v/>
      </c>
      <c r="C97" s="39">
        <f>SUM(D36:D47)</f>
        <v/>
      </c>
      <c r="D97" s="39">
        <f>SUM(E36:E47)</f>
        <v/>
      </c>
      <c r="E97" s="39">
        <f>F47</f>
        <v/>
      </c>
    </row>
    <row r="98">
      <c r="A98" s="37" t="n">
        <v>2028</v>
      </c>
      <c r="B98" s="39">
        <f>C48</f>
        <v/>
      </c>
      <c r="C98" s="39">
        <f>SUM(D48:D59)</f>
        <v/>
      </c>
      <c r="D98" s="39">
        <f>SUM(E48:E59)</f>
        <v/>
      </c>
      <c r="E98" s="39">
        <f>F59</f>
        <v/>
      </c>
    </row>
    <row r="99">
      <c r="A99" s="37" t="n">
        <v>2029</v>
      </c>
      <c r="B99" s="39">
        <f>C60</f>
        <v/>
      </c>
      <c r="C99" s="39">
        <f>SUM(D60:D71)</f>
        <v/>
      </c>
      <c r="D99" s="39">
        <f>SUM(E60:E71)</f>
        <v/>
      </c>
      <c r="E99" s="39">
        <f>F71</f>
        <v/>
      </c>
    </row>
    <row r="100">
      <c r="A100" s="37" t="n">
        <v>2030</v>
      </c>
      <c r="B100" s="39">
        <f>C72</f>
        <v/>
      </c>
      <c r="C100" s="39">
        <f>SUM(D72:D83)</f>
        <v/>
      </c>
      <c r="D100" s="39">
        <f>SUM(E72:E83)</f>
        <v/>
      </c>
      <c r="E100" s="39">
        <f>F83</f>
        <v/>
      </c>
    </row>
    <row r="101">
      <c r="A101" s="37" t="n">
        <v>2031</v>
      </c>
      <c r="B101" s="39">
        <f>C84</f>
        <v/>
      </c>
      <c r="C101" s="39">
        <f>SUM(D84:D91)</f>
        <v/>
      </c>
      <c r="D101" s="39">
        <f>SUM(E84:E91)</f>
        <v/>
      </c>
      <c r="E101" s="39">
        <f>F91</f>
        <v/>
      </c>
    </row>
    <row r="104">
      <c r="A104" s="1" t="inlineStr">
        <is>
          <t>CURRENT BALANCE (for DS link):</t>
        </is>
      </c>
      <c r="B104" s="31">
        <f>$B$7</f>
        <v/>
      </c>
    </row>
  </sheetData>
  <mergeCells count="4">
    <mergeCell ref="A1:C1"/>
    <mergeCell ref="A94:F94"/>
    <mergeCell ref="A22:G22"/>
    <mergeCell ref="A12:C12"/>
  </mergeCells>
  <pageMargins left="0.75" right="0.75" top="1" bottom="1" header="0.5" footer="0.5"/>
  <legacyDrawing xmlns:r="http://schemas.openxmlformats.org/officeDocument/2006/relationships" r:id="anysvml"/>
</worksheet>
</file>

<file path=xl/worksheets/sheet55.xml><?xml version="1.0" encoding="utf-8"?>
<worksheet xmlns="http://schemas.openxmlformats.org/spreadsheetml/2006/main">
  <sheetPr>
    <tabColor rgb="00808080"/>
    <outlinePr summaryBelow="1" summaryRight="1"/>
    <pageSetUpPr/>
  </sheetPr>
  <dimension ref="A1:G93"/>
  <sheetViews>
    <sheetView workbookViewId="0">
      <selection activeCell="A1" sqref="A1"/>
    </sheetView>
  </sheetViews>
  <sheetFormatPr baseColWidth="8" defaultRowHeight="15"/>
  <cols>
    <col width="14" customWidth="1" min="1" max="1"/>
    <col width="3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LOAN DETAILS</t>
        </is>
      </c>
    </row>
    <row r="2">
      <c r="A2" t="inlineStr">
        <is>
          <t>Lender:</t>
        </is>
      </c>
      <c r="B2" s="4" t="inlineStr">
        <is>
          <t>International Financial</t>
        </is>
      </c>
    </row>
    <row r="3">
      <c r="A3" t="inlineStr">
        <is>
          <t>Loan Number:</t>
        </is>
      </c>
      <c r="B3" s="4" t="inlineStr">
        <is>
          <t>36007320</t>
        </is>
      </c>
    </row>
    <row r="4">
      <c r="A4" t="inlineStr">
        <is>
          <t>Description:</t>
        </is>
      </c>
      <c r="B4" s="4" t="inlineStr">
        <is>
          <t>17 International Service Contract 809-825</t>
        </is>
      </c>
    </row>
    <row r="5">
      <c r="A5" t="inlineStr">
        <is>
          <t>Collateral:</t>
        </is>
      </c>
      <c r="B5" s="4" t="inlineStr">
        <is>
          <t>Equipment - Semi Trucks (Service Contract)</t>
        </is>
      </c>
    </row>
    <row r="6">
      <c r="A6" t="inlineStr">
        <is>
          <t>Original Balance:</t>
        </is>
      </c>
      <c r="B6" s="26" t="n">
        <v>333302</v>
      </c>
    </row>
    <row r="7">
      <c r="A7" t="inlineStr">
        <is>
          <t>Current Balance:</t>
        </is>
      </c>
      <c r="B7" s="26" t="n">
        <v>322192</v>
      </c>
    </row>
    <row r="8">
      <c r="A8" t="inlineStr">
        <is>
          <t>Annual Rate:</t>
        </is>
      </c>
      <c r="B8" s="6" t="n">
        <v>0</v>
      </c>
    </row>
    <row r="9">
      <c r="A9" t="inlineStr">
        <is>
          <t>Monthly Payment:</t>
        </is>
      </c>
      <c r="B9" s="26" t="n">
        <v>5555</v>
      </c>
    </row>
    <row r="10">
      <c r="A10" t="inlineStr">
        <is>
          <t>Loan Type:</t>
        </is>
      </c>
      <c r="B10" s="4" t="inlineStr">
        <is>
          <t>ZERO_INTEREST</t>
        </is>
      </c>
    </row>
    <row r="12">
      <c r="A12" s="2" t="inlineStr">
        <is>
          <t>AI ANALYSIS</t>
        </is>
      </c>
    </row>
    <row r="13">
      <c r="A13" s="9" t="inlineStr">
        <is>
          <t>Loan Classification:</t>
        </is>
      </c>
      <c r="B13" s="9" t="inlineStr">
        <is>
          <t>ZERO_INTEREST</t>
        </is>
      </c>
      <c r="C13" s="9" t="n"/>
    </row>
    <row r="14">
      <c r="A14" s="9" t="inlineStr">
        <is>
          <t>Origination Date:</t>
        </is>
      </c>
      <c r="B14" s="34" t="n">
        <v>45964</v>
      </c>
      <c r="C14" s="9" t="n"/>
    </row>
    <row r="15">
      <c r="A15" s="9" t="inlineStr">
        <is>
          <t>Maturity Date:</t>
        </is>
      </c>
      <c r="B15" s="34" t="n">
        <v>47759</v>
      </c>
      <c r="C15" s="9" t="n"/>
    </row>
    <row r="16">
      <c r="A16" s="9" t="inlineStr">
        <is>
          <t>Total Term (months):</t>
        </is>
      </c>
      <c r="B16" s="9" t="n">
        <v>59</v>
      </c>
      <c r="C16" s="9" t="n"/>
    </row>
    <row r="17">
      <c r="A17" s="9" t="inlineStr">
        <is>
          <t>Months Elapsed:</t>
        </is>
      </c>
      <c r="B17" s="9" t="n">
        <v>1</v>
      </c>
      <c r="C17" s="9" t="n"/>
    </row>
    <row r="18">
      <c r="A18" s="9" t="inlineStr">
        <is>
          <t>Months Remaining:</t>
        </is>
      </c>
      <c r="B18" s="9" t="n">
        <v>58</v>
      </c>
      <c r="C18" s="9" t="n"/>
    </row>
    <row r="19">
      <c r="A19" s="9" t="inlineStr">
        <is>
          <t>Note:</t>
        </is>
      </c>
      <c r="B19" s="9" t="inlineStr">
        <is>
          <t>0% interest service contract - principal only payments</t>
        </is>
      </c>
      <c r="C19" s="9" t="n"/>
    </row>
    <row r="20">
      <c r="A20" s="9" t="inlineStr">
        <is>
          <t>Source Document:</t>
        </is>
      </c>
      <c r="B20" s="9" t="inlineStr">
        <is>
          <t>Meiborg_Debt_Schedule_202512.xlsx - Loan 59</t>
        </is>
      </c>
      <c r="C20" s="9" t="n"/>
    </row>
    <row r="22">
      <c r="A22" s="2" t="inlineStr">
        <is>
          <t>AMORTIZATION SCHEDULE</t>
        </is>
      </c>
    </row>
    <row r="23">
      <c r="A23" s="36" t="inlineStr">
        <is>
          <t>Month #</t>
        </is>
      </c>
      <c r="B23" s="36" t="inlineStr">
        <is>
          <t>Date</t>
        </is>
      </c>
      <c r="C23" s="36" t="inlineStr">
        <is>
          <t>Opening Balance</t>
        </is>
      </c>
      <c r="D23" s="36" t="inlineStr">
        <is>
          <t>Interest</t>
        </is>
      </c>
      <c r="E23" s="36" t="inlineStr">
        <is>
          <t>Principal</t>
        </is>
      </c>
      <c r="F23" s="36" t="inlineStr">
        <is>
          <t>Closing Balance</t>
        </is>
      </c>
      <c r="G23" s="36" t="inlineStr">
        <is>
          <t>Year</t>
        </is>
      </c>
    </row>
    <row r="24">
      <c r="A24" s="37" t="n">
        <v>1</v>
      </c>
      <c r="B24" s="42" t="n">
        <v>46023</v>
      </c>
      <c r="C24" s="39">
        <f>$B$7</f>
        <v/>
      </c>
      <c r="D24" s="39">
        <f>0</f>
        <v/>
      </c>
      <c r="E24" s="39">
        <f>MAX(0,MIN(C24,$B$9-D24))</f>
        <v/>
      </c>
      <c r="F24" s="39">
        <f>MAX(0,C24-E24)</f>
        <v/>
      </c>
      <c r="G24" s="37" t="n">
        <v>2026</v>
      </c>
    </row>
    <row r="25">
      <c r="A25" s="37" t="n">
        <v>2</v>
      </c>
      <c r="B25" s="42" t="n">
        <v>46054</v>
      </c>
      <c r="C25" s="39">
        <f>MAX(0,F24)</f>
        <v/>
      </c>
      <c r="D25" s="39">
        <f>0</f>
        <v/>
      </c>
      <c r="E25" s="39">
        <f>MAX(0,MIN(C25,$B$9-D25))</f>
        <v/>
      </c>
      <c r="F25" s="39">
        <f>MAX(0,C25-E25)</f>
        <v/>
      </c>
      <c r="G25" s="37" t="n">
        <v>2026</v>
      </c>
    </row>
    <row r="26">
      <c r="A26" s="37" t="n">
        <v>3</v>
      </c>
      <c r="B26" s="42" t="n">
        <v>46082</v>
      </c>
      <c r="C26" s="39">
        <f>MAX(0,F25)</f>
        <v/>
      </c>
      <c r="D26" s="39">
        <f>0</f>
        <v/>
      </c>
      <c r="E26" s="39">
        <f>MAX(0,MIN(C26,$B$9-D26))</f>
        <v/>
      </c>
      <c r="F26" s="39">
        <f>MAX(0,C26-E26)</f>
        <v/>
      </c>
      <c r="G26" s="37" t="n">
        <v>2026</v>
      </c>
    </row>
    <row r="27">
      <c r="A27" s="37" t="n">
        <v>4</v>
      </c>
      <c r="B27" s="42" t="n">
        <v>46113</v>
      </c>
      <c r="C27" s="39">
        <f>MAX(0,F26)</f>
        <v/>
      </c>
      <c r="D27" s="39">
        <f>0</f>
        <v/>
      </c>
      <c r="E27" s="39">
        <f>MAX(0,MIN(C27,$B$9-D27))</f>
        <v/>
      </c>
      <c r="F27" s="39">
        <f>MAX(0,C27-E27)</f>
        <v/>
      </c>
      <c r="G27" s="37" t="n">
        <v>2026</v>
      </c>
    </row>
    <row r="28">
      <c r="A28" s="37" t="n">
        <v>5</v>
      </c>
      <c r="B28" s="42" t="n">
        <v>46143</v>
      </c>
      <c r="C28" s="39">
        <f>MAX(0,F27)</f>
        <v/>
      </c>
      <c r="D28" s="39">
        <f>0</f>
        <v/>
      </c>
      <c r="E28" s="39">
        <f>MAX(0,MIN(C28,$B$9-D28))</f>
        <v/>
      </c>
      <c r="F28" s="39">
        <f>MAX(0,C28-E28)</f>
        <v/>
      </c>
      <c r="G28" s="37" t="n">
        <v>2026</v>
      </c>
    </row>
    <row r="29">
      <c r="A29" s="37" t="n">
        <v>6</v>
      </c>
      <c r="B29" s="42" t="n">
        <v>46174</v>
      </c>
      <c r="C29" s="39">
        <f>MAX(0,F28)</f>
        <v/>
      </c>
      <c r="D29" s="39">
        <f>0</f>
        <v/>
      </c>
      <c r="E29" s="39">
        <f>MAX(0,MIN(C29,$B$9-D29))</f>
        <v/>
      </c>
      <c r="F29" s="39">
        <f>MAX(0,C29-E29)</f>
        <v/>
      </c>
      <c r="G29" s="37" t="n">
        <v>2026</v>
      </c>
    </row>
    <row r="30">
      <c r="A30" s="37" t="n">
        <v>7</v>
      </c>
      <c r="B30" s="42" t="n">
        <v>46204</v>
      </c>
      <c r="C30" s="39">
        <f>MAX(0,F29)</f>
        <v/>
      </c>
      <c r="D30" s="39">
        <f>0</f>
        <v/>
      </c>
      <c r="E30" s="39">
        <f>MAX(0,MIN(C30,$B$9-D30))</f>
        <v/>
      </c>
      <c r="F30" s="39">
        <f>MAX(0,C30-E30)</f>
        <v/>
      </c>
      <c r="G30" s="37" t="n">
        <v>2026</v>
      </c>
    </row>
    <row r="31">
      <c r="A31" s="37" t="n">
        <v>8</v>
      </c>
      <c r="B31" s="42" t="n">
        <v>46235</v>
      </c>
      <c r="C31" s="39">
        <f>MAX(0,F30)</f>
        <v/>
      </c>
      <c r="D31" s="39">
        <f>0</f>
        <v/>
      </c>
      <c r="E31" s="39">
        <f>MAX(0,MIN(C31,$B$9-D31))</f>
        <v/>
      </c>
      <c r="F31" s="39">
        <f>MAX(0,C31-E31)</f>
        <v/>
      </c>
      <c r="G31" s="37" t="n">
        <v>2026</v>
      </c>
    </row>
    <row r="32">
      <c r="A32" s="37" t="n">
        <v>9</v>
      </c>
      <c r="B32" s="42" t="n">
        <v>46266</v>
      </c>
      <c r="C32" s="39">
        <f>MAX(0,F31)</f>
        <v/>
      </c>
      <c r="D32" s="39">
        <f>0</f>
        <v/>
      </c>
      <c r="E32" s="39">
        <f>MAX(0,MIN(C32,$B$9-D32))</f>
        <v/>
      </c>
      <c r="F32" s="39">
        <f>MAX(0,C32-E32)</f>
        <v/>
      </c>
      <c r="G32" s="37" t="n">
        <v>2026</v>
      </c>
    </row>
    <row r="33">
      <c r="A33" s="37" t="n">
        <v>10</v>
      </c>
      <c r="B33" s="42" t="n">
        <v>46296</v>
      </c>
      <c r="C33" s="39">
        <f>MAX(0,F32)</f>
        <v/>
      </c>
      <c r="D33" s="39">
        <f>0</f>
        <v/>
      </c>
      <c r="E33" s="39">
        <f>MAX(0,MIN(C33,$B$9-D33))</f>
        <v/>
      </c>
      <c r="F33" s="39">
        <f>MAX(0,C33-E33)</f>
        <v/>
      </c>
      <c r="G33" s="37" t="n">
        <v>2026</v>
      </c>
    </row>
    <row r="34">
      <c r="A34" s="37" t="n">
        <v>11</v>
      </c>
      <c r="B34" s="42" t="n">
        <v>46327</v>
      </c>
      <c r="C34" s="39">
        <f>MAX(0,F33)</f>
        <v/>
      </c>
      <c r="D34" s="39">
        <f>0</f>
        <v/>
      </c>
      <c r="E34" s="39">
        <f>MAX(0,MIN(C34,$B$9-D34))</f>
        <v/>
      </c>
      <c r="F34" s="39">
        <f>MAX(0,C34-E34)</f>
        <v/>
      </c>
      <c r="G34" s="37" t="n">
        <v>2026</v>
      </c>
    </row>
    <row r="35">
      <c r="A35" s="37" t="n">
        <v>12</v>
      </c>
      <c r="B35" s="42" t="n">
        <v>46357</v>
      </c>
      <c r="C35" s="39">
        <f>MAX(0,F34)</f>
        <v/>
      </c>
      <c r="D35" s="39">
        <f>0</f>
        <v/>
      </c>
      <c r="E35" s="39">
        <f>MAX(0,MIN(C35,$B$9-D35))</f>
        <v/>
      </c>
      <c r="F35" s="39">
        <f>MAX(0,C35-E35)</f>
        <v/>
      </c>
      <c r="G35" s="37" t="n">
        <v>2026</v>
      </c>
    </row>
    <row r="36">
      <c r="A36" s="37" t="n">
        <v>13</v>
      </c>
      <c r="B36" s="42" t="n">
        <v>46388</v>
      </c>
      <c r="C36" s="39">
        <f>MAX(0,F35)</f>
        <v/>
      </c>
      <c r="D36" s="39">
        <f>0</f>
        <v/>
      </c>
      <c r="E36" s="39">
        <f>MAX(0,MIN(C36,$B$9-D36))</f>
        <v/>
      </c>
      <c r="F36" s="39">
        <f>MAX(0,C36-E36)</f>
        <v/>
      </c>
      <c r="G36" s="37" t="n">
        <v>2027</v>
      </c>
    </row>
    <row r="37">
      <c r="A37" s="37" t="n">
        <v>14</v>
      </c>
      <c r="B37" s="42" t="n">
        <v>46419</v>
      </c>
      <c r="C37" s="39">
        <f>MAX(0,F36)</f>
        <v/>
      </c>
      <c r="D37" s="39">
        <f>0</f>
        <v/>
      </c>
      <c r="E37" s="39">
        <f>MAX(0,MIN(C37,$B$9-D37))</f>
        <v/>
      </c>
      <c r="F37" s="39">
        <f>MAX(0,C37-E37)</f>
        <v/>
      </c>
      <c r="G37" s="37" t="n">
        <v>2027</v>
      </c>
    </row>
    <row r="38">
      <c r="A38" s="37" t="n">
        <v>15</v>
      </c>
      <c r="B38" s="42" t="n">
        <v>46447</v>
      </c>
      <c r="C38" s="39">
        <f>MAX(0,F37)</f>
        <v/>
      </c>
      <c r="D38" s="39">
        <f>0</f>
        <v/>
      </c>
      <c r="E38" s="39">
        <f>MAX(0,MIN(C38,$B$9-D38))</f>
        <v/>
      </c>
      <c r="F38" s="39">
        <f>MAX(0,C38-E38)</f>
        <v/>
      </c>
      <c r="G38" s="37" t="n">
        <v>2027</v>
      </c>
    </row>
    <row r="39">
      <c r="A39" s="37" t="n">
        <v>16</v>
      </c>
      <c r="B39" s="42" t="n">
        <v>46478</v>
      </c>
      <c r="C39" s="39">
        <f>MAX(0,F38)</f>
        <v/>
      </c>
      <c r="D39" s="39">
        <f>0</f>
        <v/>
      </c>
      <c r="E39" s="39">
        <f>MAX(0,MIN(C39,$B$9-D39))</f>
        <v/>
      </c>
      <c r="F39" s="39">
        <f>MAX(0,C39-E39)</f>
        <v/>
      </c>
      <c r="G39" s="37" t="n">
        <v>2027</v>
      </c>
    </row>
    <row r="40">
      <c r="A40" s="37" t="n">
        <v>17</v>
      </c>
      <c r="B40" s="42" t="n">
        <v>46508</v>
      </c>
      <c r="C40" s="39">
        <f>MAX(0,F39)</f>
        <v/>
      </c>
      <c r="D40" s="39">
        <f>0</f>
        <v/>
      </c>
      <c r="E40" s="39">
        <f>MAX(0,MIN(C40,$B$9-D40))</f>
        <v/>
      </c>
      <c r="F40" s="39">
        <f>MAX(0,C40-E40)</f>
        <v/>
      </c>
      <c r="G40" s="37" t="n">
        <v>2027</v>
      </c>
    </row>
    <row r="41">
      <c r="A41" s="37" t="n">
        <v>18</v>
      </c>
      <c r="B41" s="42" t="n">
        <v>46539</v>
      </c>
      <c r="C41" s="39">
        <f>MAX(0,F40)</f>
        <v/>
      </c>
      <c r="D41" s="39">
        <f>0</f>
        <v/>
      </c>
      <c r="E41" s="39">
        <f>MAX(0,MIN(C41,$B$9-D41))</f>
        <v/>
      </c>
      <c r="F41" s="39">
        <f>MAX(0,C41-E41)</f>
        <v/>
      </c>
      <c r="G41" s="37" t="n">
        <v>2027</v>
      </c>
    </row>
    <row r="42">
      <c r="A42" s="37" t="n">
        <v>19</v>
      </c>
      <c r="B42" s="42" t="n">
        <v>46569</v>
      </c>
      <c r="C42" s="39">
        <f>MAX(0,F41)</f>
        <v/>
      </c>
      <c r="D42" s="39">
        <f>0</f>
        <v/>
      </c>
      <c r="E42" s="39">
        <f>MAX(0,MIN(C42,$B$9-D42))</f>
        <v/>
      </c>
      <c r="F42" s="39">
        <f>MAX(0,C42-E42)</f>
        <v/>
      </c>
      <c r="G42" s="37" t="n">
        <v>2027</v>
      </c>
    </row>
    <row r="43">
      <c r="A43" s="37" t="n">
        <v>20</v>
      </c>
      <c r="B43" s="42" t="n">
        <v>46600</v>
      </c>
      <c r="C43" s="39">
        <f>MAX(0,F42)</f>
        <v/>
      </c>
      <c r="D43" s="39">
        <f>0</f>
        <v/>
      </c>
      <c r="E43" s="39">
        <f>MAX(0,MIN(C43,$B$9-D43))</f>
        <v/>
      </c>
      <c r="F43" s="39">
        <f>MAX(0,C43-E43)</f>
        <v/>
      </c>
      <c r="G43" s="37" t="n">
        <v>2027</v>
      </c>
    </row>
    <row r="44">
      <c r="A44" s="37" t="n">
        <v>21</v>
      </c>
      <c r="B44" s="42" t="n">
        <v>46631</v>
      </c>
      <c r="C44" s="39">
        <f>MAX(0,F43)</f>
        <v/>
      </c>
      <c r="D44" s="39">
        <f>0</f>
        <v/>
      </c>
      <c r="E44" s="39">
        <f>MAX(0,MIN(C44,$B$9-D44))</f>
        <v/>
      </c>
      <c r="F44" s="39">
        <f>MAX(0,C44-E44)</f>
        <v/>
      </c>
      <c r="G44" s="37" t="n">
        <v>2027</v>
      </c>
    </row>
    <row r="45">
      <c r="A45" s="37" t="n">
        <v>22</v>
      </c>
      <c r="B45" s="42" t="n">
        <v>46661</v>
      </c>
      <c r="C45" s="39">
        <f>MAX(0,F44)</f>
        <v/>
      </c>
      <c r="D45" s="39">
        <f>0</f>
        <v/>
      </c>
      <c r="E45" s="39">
        <f>MAX(0,MIN(C45,$B$9-D45))</f>
        <v/>
      </c>
      <c r="F45" s="39">
        <f>MAX(0,C45-E45)</f>
        <v/>
      </c>
      <c r="G45" s="37" t="n">
        <v>2027</v>
      </c>
    </row>
    <row r="46">
      <c r="A46" s="37" t="n">
        <v>23</v>
      </c>
      <c r="B46" s="42" t="n">
        <v>46692</v>
      </c>
      <c r="C46" s="39">
        <f>MAX(0,F45)</f>
        <v/>
      </c>
      <c r="D46" s="39">
        <f>0</f>
        <v/>
      </c>
      <c r="E46" s="39">
        <f>MAX(0,MIN(C46,$B$9-D46))</f>
        <v/>
      </c>
      <c r="F46" s="39">
        <f>MAX(0,C46-E46)</f>
        <v/>
      </c>
      <c r="G46" s="37" t="n">
        <v>2027</v>
      </c>
    </row>
    <row r="47">
      <c r="A47" s="37" t="n">
        <v>24</v>
      </c>
      <c r="B47" s="42" t="n">
        <v>46722</v>
      </c>
      <c r="C47" s="39">
        <f>MAX(0,F46)</f>
        <v/>
      </c>
      <c r="D47" s="39">
        <f>0</f>
        <v/>
      </c>
      <c r="E47" s="39">
        <f>MAX(0,MIN(C47,$B$9-D47))</f>
        <v/>
      </c>
      <c r="F47" s="39">
        <f>MAX(0,C47-E47)</f>
        <v/>
      </c>
      <c r="G47" s="37" t="n">
        <v>2027</v>
      </c>
    </row>
    <row r="48">
      <c r="A48" s="37" t="n">
        <v>25</v>
      </c>
      <c r="B48" s="42" t="n">
        <v>46753</v>
      </c>
      <c r="C48" s="39">
        <f>MAX(0,F47)</f>
        <v/>
      </c>
      <c r="D48" s="39">
        <f>0</f>
        <v/>
      </c>
      <c r="E48" s="39">
        <f>MAX(0,MIN(C48,$B$9-D48))</f>
        <v/>
      </c>
      <c r="F48" s="39">
        <f>MAX(0,C48-E48)</f>
        <v/>
      </c>
      <c r="G48" s="37" t="n">
        <v>2028</v>
      </c>
    </row>
    <row r="49">
      <c r="A49" s="37" t="n">
        <v>26</v>
      </c>
      <c r="B49" s="42" t="n">
        <v>46784</v>
      </c>
      <c r="C49" s="39">
        <f>MAX(0,F48)</f>
        <v/>
      </c>
      <c r="D49" s="39">
        <f>0</f>
        <v/>
      </c>
      <c r="E49" s="39">
        <f>MAX(0,MIN(C49,$B$9-D49))</f>
        <v/>
      </c>
      <c r="F49" s="39">
        <f>MAX(0,C49-E49)</f>
        <v/>
      </c>
      <c r="G49" s="37" t="n">
        <v>2028</v>
      </c>
    </row>
    <row r="50">
      <c r="A50" s="37" t="n">
        <v>27</v>
      </c>
      <c r="B50" s="42" t="n">
        <v>46813</v>
      </c>
      <c r="C50" s="39">
        <f>MAX(0,F49)</f>
        <v/>
      </c>
      <c r="D50" s="39">
        <f>0</f>
        <v/>
      </c>
      <c r="E50" s="39">
        <f>MAX(0,MIN(C50,$B$9-D50))</f>
        <v/>
      </c>
      <c r="F50" s="39">
        <f>MAX(0,C50-E50)</f>
        <v/>
      </c>
      <c r="G50" s="37" t="n">
        <v>2028</v>
      </c>
    </row>
    <row r="51">
      <c r="A51" s="37" t="n">
        <v>28</v>
      </c>
      <c r="B51" s="42" t="n">
        <v>46844</v>
      </c>
      <c r="C51" s="39">
        <f>MAX(0,F50)</f>
        <v/>
      </c>
      <c r="D51" s="39">
        <f>0</f>
        <v/>
      </c>
      <c r="E51" s="39">
        <f>MAX(0,MIN(C51,$B$9-D51))</f>
        <v/>
      </c>
      <c r="F51" s="39">
        <f>MAX(0,C51-E51)</f>
        <v/>
      </c>
      <c r="G51" s="37" t="n">
        <v>2028</v>
      </c>
    </row>
    <row r="52">
      <c r="A52" s="37" t="n">
        <v>29</v>
      </c>
      <c r="B52" s="42" t="n">
        <v>46874</v>
      </c>
      <c r="C52" s="39">
        <f>MAX(0,F51)</f>
        <v/>
      </c>
      <c r="D52" s="39">
        <f>0</f>
        <v/>
      </c>
      <c r="E52" s="39">
        <f>MAX(0,MIN(C52,$B$9-D52))</f>
        <v/>
      </c>
      <c r="F52" s="39">
        <f>MAX(0,C52-E52)</f>
        <v/>
      </c>
      <c r="G52" s="37" t="n">
        <v>2028</v>
      </c>
    </row>
    <row r="53">
      <c r="A53" s="37" t="n">
        <v>30</v>
      </c>
      <c r="B53" s="42" t="n">
        <v>46905</v>
      </c>
      <c r="C53" s="39">
        <f>MAX(0,F52)</f>
        <v/>
      </c>
      <c r="D53" s="39">
        <f>0</f>
        <v/>
      </c>
      <c r="E53" s="39">
        <f>MAX(0,MIN(C53,$B$9-D53))</f>
        <v/>
      </c>
      <c r="F53" s="39">
        <f>MAX(0,C53-E53)</f>
        <v/>
      </c>
      <c r="G53" s="37" t="n">
        <v>2028</v>
      </c>
    </row>
    <row r="54">
      <c r="A54" s="37" t="n">
        <v>31</v>
      </c>
      <c r="B54" s="42" t="n">
        <v>46935</v>
      </c>
      <c r="C54" s="39">
        <f>MAX(0,F53)</f>
        <v/>
      </c>
      <c r="D54" s="39">
        <f>0</f>
        <v/>
      </c>
      <c r="E54" s="39">
        <f>MAX(0,MIN(C54,$B$9-D54))</f>
        <v/>
      </c>
      <c r="F54" s="39">
        <f>MAX(0,C54-E54)</f>
        <v/>
      </c>
      <c r="G54" s="37" t="n">
        <v>2028</v>
      </c>
    </row>
    <row r="55">
      <c r="A55" s="37" t="n">
        <v>32</v>
      </c>
      <c r="B55" s="42" t="n">
        <v>46966</v>
      </c>
      <c r="C55" s="39">
        <f>MAX(0,F54)</f>
        <v/>
      </c>
      <c r="D55" s="39">
        <f>0</f>
        <v/>
      </c>
      <c r="E55" s="39">
        <f>MAX(0,MIN(C55,$B$9-D55))</f>
        <v/>
      </c>
      <c r="F55" s="39">
        <f>MAX(0,C55-E55)</f>
        <v/>
      </c>
      <c r="G55" s="37" t="n">
        <v>2028</v>
      </c>
    </row>
    <row r="56">
      <c r="A56" s="37" t="n">
        <v>33</v>
      </c>
      <c r="B56" s="42" t="n">
        <v>46997</v>
      </c>
      <c r="C56" s="39">
        <f>MAX(0,F55)</f>
        <v/>
      </c>
      <c r="D56" s="39">
        <f>0</f>
        <v/>
      </c>
      <c r="E56" s="39">
        <f>MAX(0,MIN(C56,$B$9-D56))</f>
        <v/>
      </c>
      <c r="F56" s="39">
        <f>MAX(0,C56-E56)</f>
        <v/>
      </c>
      <c r="G56" s="37" t="n">
        <v>2028</v>
      </c>
    </row>
    <row r="57">
      <c r="A57" s="37" t="n">
        <v>34</v>
      </c>
      <c r="B57" s="42" t="n">
        <v>47027</v>
      </c>
      <c r="C57" s="39">
        <f>MAX(0,F56)</f>
        <v/>
      </c>
      <c r="D57" s="39">
        <f>0</f>
        <v/>
      </c>
      <c r="E57" s="39">
        <f>MAX(0,MIN(C57,$B$9-D57))</f>
        <v/>
      </c>
      <c r="F57" s="39">
        <f>MAX(0,C57-E57)</f>
        <v/>
      </c>
      <c r="G57" s="37" t="n">
        <v>2028</v>
      </c>
    </row>
    <row r="58">
      <c r="A58" s="37" t="n">
        <v>35</v>
      </c>
      <c r="B58" s="42" t="n">
        <v>47058</v>
      </c>
      <c r="C58" s="39">
        <f>MAX(0,F57)</f>
        <v/>
      </c>
      <c r="D58" s="39">
        <f>0</f>
        <v/>
      </c>
      <c r="E58" s="39">
        <f>MAX(0,MIN(C58,$B$9-D58))</f>
        <v/>
      </c>
      <c r="F58" s="39">
        <f>MAX(0,C58-E58)</f>
        <v/>
      </c>
      <c r="G58" s="37" t="n">
        <v>2028</v>
      </c>
    </row>
    <row r="59">
      <c r="A59" s="37" t="n">
        <v>36</v>
      </c>
      <c r="B59" s="42" t="n">
        <v>47088</v>
      </c>
      <c r="C59" s="39">
        <f>MAX(0,F58)</f>
        <v/>
      </c>
      <c r="D59" s="39">
        <f>0</f>
        <v/>
      </c>
      <c r="E59" s="39">
        <f>MAX(0,MIN(C59,$B$9-D59))</f>
        <v/>
      </c>
      <c r="F59" s="39">
        <f>MAX(0,C59-E59)</f>
        <v/>
      </c>
      <c r="G59" s="37" t="n">
        <v>2028</v>
      </c>
    </row>
    <row r="60">
      <c r="A60" s="37" t="n">
        <v>37</v>
      </c>
      <c r="B60" s="42" t="n">
        <v>47119</v>
      </c>
      <c r="C60" s="39">
        <f>MAX(0,F59)</f>
        <v/>
      </c>
      <c r="D60" s="39">
        <f>0</f>
        <v/>
      </c>
      <c r="E60" s="39">
        <f>MAX(0,MIN(C60,$B$9-D60))</f>
        <v/>
      </c>
      <c r="F60" s="39">
        <f>MAX(0,C60-E60)</f>
        <v/>
      </c>
      <c r="G60" s="37" t="n">
        <v>2029</v>
      </c>
    </row>
    <row r="61">
      <c r="A61" s="37" t="n">
        <v>38</v>
      </c>
      <c r="B61" s="42" t="n">
        <v>47150</v>
      </c>
      <c r="C61" s="39">
        <f>MAX(0,F60)</f>
        <v/>
      </c>
      <c r="D61" s="39">
        <f>0</f>
        <v/>
      </c>
      <c r="E61" s="39">
        <f>MAX(0,MIN(C61,$B$9-D61))</f>
        <v/>
      </c>
      <c r="F61" s="39">
        <f>MAX(0,C61-E61)</f>
        <v/>
      </c>
      <c r="G61" s="37" t="n">
        <v>2029</v>
      </c>
    </row>
    <row r="62">
      <c r="A62" s="37" t="n">
        <v>39</v>
      </c>
      <c r="B62" s="42" t="n">
        <v>47178</v>
      </c>
      <c r="C62" s="39">
        <f>MAX(0,F61)</f>
        <v/>
      </c>
      <c r="D62" s="39">
        <f>0</f>
        <v/>
      </c>
      <c r="E62" s="39">
        <f>MAX(0,MIN(C62,$B$9-D62))</f>
        <v/>
      </c>
      <c r="F62" s="39">
        <f>MAX(0,C62-E62)</f>
        <v/>
      </c>
      <c r="G62" s="37" t="n">
        <v>2029</v>
      </c>
    </row>
    <row r="63">
      <c r="A63" s="37" t="n">
        <v>40</v>
      </c>
      <c r="B63" s="42" t="n">
        <v>47209</v>
      </c>
      <c r="C63" s="39">
        <f>MAX(0,F62)</f>
        <v/>
      </c>
      <c r="D63" s="39">
        <f>0</f>
        <v/>
      </c>
      <c r="E63" s="39">
        <f>MAX(0,MIN(C63,$B$9-D63))</f>
        <v/>
      </c>
      <c r="F63" s="39">
        <f>MAX(0,C63-E63)</f>
        <v/>
      </c>
      <c r="G63" s="37" t="n">
        <v>2029</v>
      </c>
    </row>
    <row r="64">
      <c r="A64" s="37" t="n">
        <v>41</v>
      </c>
      <c r="B64" s="42" t="n">
        <v>47239</v>
      </c>
      <c r="C64" s="39">
        <f>MAX(0,F63)</f>
        <v/>
      </c>
      <c r="D64" s="39">
        <f>0</f>
        <v/>
      </c>
      <c r="E64" s="39">
        <f>MAX(0,MIN(C64,$B$9-D64))</f>
        <v/>
      </c>
      <c r="F64" s="39">
        <f>MAX(0,C64-E64)</f>
        <v/>
      </c>
      <c r="G64" s="37" t="n">
        <v>2029</v>
      </c>
    </row>
    <row r="65">
      <c r="A65" s="37" t="n">
        <v>42</v>
      </c>
      <c r="B65" s="42" t="n">
        <v>47270</v>
      </c>
      <c r="C65" s="39">
        <f>MAX(0,F64)</f>
        <v/>
      </c>
      <c r="D65" s="39">
        <f>0</f>
        <v/>
      </c>
      <c r="E65" s="39">
        <f>MAX(0,MIN(C65,$B$9-D65))</f>
        <v/>
      </c>
      <c r="F65" s="39">
        <f>MAX(0,C65-E65)</f>
        <v/>
      </c>
      <c r="G65" s="37" t="n">
        <v>2029</v>
      </c>
    </row>
    <row r="66">
      <c r="A66" s="37" t="n">
        <v>43</v>
      </c>
      <c r="B66" s="42" t="n">
        <v>47300</v>
      </c>
      <c r="C66" s="39">
        <f>MAX(0,F65)</f>
        <v/>
      </c>
      <c r="D66" s="39">
        <f>0</f>
        <v/>
      </c>
      <c r="E66" s="39">
        <f>MAX(0,MIN(C66,$B$9-D66))</f>
        <v/>
      </c>
      <c r="F66" s="39">
        <f>MAX(0,C66-E66)</f>
        <v/>
      </c>
      <c r="G66" s="37" t="n">
        <v>2029</v>
      </c>
    </row>
    <row r="67">
      <c r="A67" s="37" t="n">
        <v>44</v>
      </c>
      <c r="B67" s="42" t="n">
        <v>47331</v>
      </c>
      <c r="C67" s="39">
        <f>MAX(0,F66)</f>
        <v/>
      </c>
      <c r="D67" s="39">
        <f>0</f>
        <v/>
      </c>
      <c r="E67" s="39">
        <f>MAX(0,MIN(C67,$B$9-D67))</f>
        <v/>
      </c>
      <c r="F67" s="39">
        <f>MAX(0,C67-E67)</f>
        <v/>
      </c>
      <c r="G67" s="37" t="n">
        <v>2029</v>
      </c>
    </row>
    <row r="68">
      <c r="A68" s="37" t="n">
        <v>45</v>
      </c>
      <c r="B68" s="42" t="n">
        <v>47362</v>
      </c>
      <c r="C68" s="39">
        <f>MAX(0,F67)</f>
        <v/>
      </c>
      <c r="D68" s="39">
        <f>0</f>
        <v/>
      </c>
      <c r="E68" s="39">
        <f>MAX(0,MIN(C68,$B$9-D68))</f>
        <v/>
      </c>
      <c r="F68" s="39">
        <f>MAX(0,C68-E68)</f>
        <v/>
      </c>
      <c r="G68" s="37" t="n">
        <v>2029</v>
      </c>
    </row>
    <row r="69">
      <c r="A69" s="37" t="n">
        <v>46</v>
      </c>
      <c r="B69" s="42" t="n">
        <v>47392</v>
      </c>
      <c r="C69" s="39">
        <f>MAX(0,F68)</f>
        <v/>
      </c>
      <c r="D69" s="39">
        <f>0</f>
        <v/>
      </c>
      <c r="E69" s="39">
        <f>MAX(0,MIN(C69,$B$9-D69))</f>
        <v/>
      </c>
      <c r="F69" s="39">
        <f>MAX(0,C69-E69)</f>
        <v/>
      </c>
      <c r="G69" s="37" t="n">
        <v>2029</v>
      </c>
    </row>
    <row r="70">
      <c r="A70" s="37" t="n">
        <v>47</v>
      </c>
      <c r="B70" s="42" t="n">
        <v>47423</v>
      </c>
      <c r="C70" s="39">
        <f>MAX(0,F69)</f>
        <v/>
      </c>
      <c r="D70" s="39">
        <f>0</f>
        <v/>
      </c>
      <c r="E70" s="39">
        <f>MAX(0,MIN(C70,$B$9-D70))</f>
        <v/>
      </c>
      <c r="F70" s="39">
        <f>MAX(0,C70-E70)</f>
        <v/>
      </c>
      <c r="G70" s="37" t="n">
        <v>2029</v>
      </c>
    </row>
    <row r="71">
      <c r="A71" s="37" t="n">
        <v>48</v>
      </c>
      <c r="B71" s="42" t="n">
        <v>47453</v>
      </c>
      <c r="C71" s="39">
        <f>MAX(0,F70)</f>
        <v/>
      </c>
      <c r="D71" s="39">
        <f>0</f>
        <v/>
      </c>
      <c r="E71" s="39">
        <f>MAX(0,MIN(C71,$B$9-D71))</f>
        <v/>
      </c>
      <c r="F71" s="39">
        <f>MAX(0,C71-E71)</f>
        <v/>
      </c>
      <c r="G71" s="37" t="n">
        <v>2029</v>
      </c>
    </row>
    <row r="72">
      <c r="A72" s="37" t="n">
        <v>49</v>
      </c>
      <c r="B72" s="42" t="n">
        <v>47484</v>
      </c>
      <c r="C72" s="39">
        <f>MAX(0,F71)</f>
        <v/>
      </c>
      <c r="D72" s="39">
        <f>0</f>
        <v/>
      </c>
      <c r="E72" s="39">
        <f>MAX(0,MIN(C72,$B$9-D72))</f>
        <v/>
      </c>
      <c r="F72" s="39">
        <f>MAX(0,C72-E72)</f>
        <v/>
      </c>
      <c r="G72" s="37" t="n">
        <v>2030</v>
      </c>
    </row>
    <row r="73">
      <c r="A73" s="37" t="n">
        <v>50</v>
      </c>
      <c r="B73" s="42" t="n">
        <v>47515</v>
      </c>
      <c r="C73" s="39">
        <f>MAX(0,F72)</f>
        <v/>
      </c>
      <c r="D73" s="39">
        <f>0</f>
        <v/>
      </c>
      <c r="E73" s="39">
        <f>MAX(0,MIN(C73,$B$9-D73))</f>
        <v/>
      </c>
      <c r="F73" s="39">
        <f>MAX(0,C73-E73)</f>
        <v/>
      </c>
      <c r="G73" s="37" t="n">
        <v>2030</v>
      </c>
    </row>
    <row r="74">
      <c r="A74" s="37" t="n">
        <v>51</v>
      </c>
      <c r="B74" s="42" t="n">
        <v>47543</v>
      </c>
      <c r="C74" s="39">
        <f>MAX(0,F73)</f>
        <v/>
      </c>
      <c r="D74" s="39">
        <f>0</f>
        <v/>
      </c>
      <c r="E74" s="39">
        <f>MAX(0,MIN(C74,$B$9-D74))</f>
        <v/>
      </c>
      <c r="F74" s="39">
        <f>MAX(0,C74-E74)</f>
        <v/>
      </c>
      <c r="G74" s="37" t="n">
        <v>2030</v>
      </c>
    </row>
    <row r="75">
      <c r="A75" s="37" t="n">
        <v>52</v>
      </c>
      <c r="B75" s="42" t="n">
        <v>47574</v>
      </c>
      <c r="C75" s="39">
        <f>MAX(0,F74)</f>
        <v/>
      </c>
      <c r="D75" s="39">
        <f>0</f>
        <v/>
      </c>
      <c r="E75" s="39">
        <f>MAX(0,MIN(C75,$B$9-D75))</f>
        <v/>
      </c>
      <c r="F75" s="39">
        <f>MAX(0,C75-E75)</f>
        <v/>
      </c>
      <c r="G75" s="37" t="n">
        <v>2030</v>
      </c>
    </row>
    <row r="76">
      <c r="A76" s="37" t="n">
        <v>53</v>
      </c>
      <c r="B76" s="42" t="n">
        <v>47604</v>
      </c>
      <c r="C76" s="39">
        <f>MAX(0,F75)</f>
        <v/>
      </c>
      <c r="D76" s="39">
        <f>0</f>
        <v/>
      </c>
      <c r="E76" s="39">
        <f>MAX(0,MIN(C76,$B$9-D76))</f>
        <v/>
      </c>
      <c r="F76" s="39">
        <f>MAX(0,C76-E76)</f>
        <v/>
      </c>
      <c r="G76" s="37" t="n">
        <v>2030</v>
      </c>
    </row>
    <row r="77">
      <c r="A77" s="37" t="n">
        <v>54</v>
      </c>
      <c r="B77" s="42" t="n">
        <v>47635</v>
      </c>
      <c r="C77" s="39">
        <f>MAX(0,F76)</f>
        <v/>
      </c>
      <c r="D77" s="39">
        <f>0</f>
        <v/>
      </c>
      <c r="E77" s="39">
        <f>MAX(0,MIN(C77,$B$9-D77))</f>
        <v/>
      </c>
      <c r="F77" s="39">
        <f>MAX(0,C77-E77)</f>
        <v/>
      </c>
      <c r="G77" s="37" t="n">
        <v>2030</v>
      </c>
    </row>
    <row r="78">
      <c r="A78" s="37" t="n">
        <v>55</v>
      </c>
      <c r="B78" s="42" t="n">
        <v>47665</v>
      </c>
      <c r="C78" s="39">
        <f>MAX(0,F77)</f>
        <v/>
      </c>
      <c r="D78" s="39">
        <f>0</f>
        <v/>
      </c>
      <c r="E78" s="39">
        <f>MAX(0,MIN(C78,$B$9-D78))</f>
        <v/>
      </c>
      <c r="F78" s="39">
        <f>MAX(0,C78-E78)</f>
        <v/>
      </c>
      <c r="G78" s="37" t="n">
        <v>2030</v>
      </c>
    </row>
    <row r="79">
      <c r="A79" s="37" t="n">
        <v>56</v>
      </c>
      <c r="B79" s="42" t="n">
        <v>47696</v>
      </c>
      <c r="C79" s="39">
        <f>MAX(0,F78)</f>
        <v/>
      </c>
      <c r="D79" s="39">
        <f>0</f>
        <v/>
      </c>
      <c r="E79" s="39">
        <f>MAX(0,MIN(C79,$B$9-D79))</f>
        <v/>
      </c>
      <c r="F79" s="39">
        <f>MAX(0,C79-E79)</f>
        <v/>
      </c>
      <c r="G79" s="37" t="n">
        <v>2030</v>
      </c>
    </row>
    <row r="80">
      <c r="A80" s="37" t="n">
        <v>57</v>
      </c>
      <c r="B80" s="42" t="n">
        <v>47727</v>
      </c>
      <c r="C80" s="39">
        <f>MAX(0,F79)</f>
        <v/>
      </c>
      <c r="D80" s="39">
        <f>0</f>
        <v/>
      </c>
      <c r="E80" s="39">
        <f>MAX(0,MIN(C80,$B$9-D80))</f>
        <v/>
      </c>
      <c r="F80" s="39">
        <f>MAX(0,C80-E80)</f>
        <v/>
      </c>
      <c r="G80" s="37" t="n">
        <v>2030</v>
      </c>
    </row>
    <row r="81">
      <c r="A81" s="37" t="n">
        <v>58</v>
      </c>
      <c r="B81" s="42" t="n">
        <v>47757</v>
      </c>
      <c r="C81" s="39">
        <f>MAX(0,F80)</f>
        <v/>
      </c>
      <c r="D81" s="39">
        <f>0</f>
        <v/>
      </c>
      <c r="E81" s="39">
        <f>MAX(0,MIN(C81,$B$9-D81))</f>
        <v/>
      </c>
      <c r="F81" s="39">
        <f>MAX(0,C81-E81)</f>
        <v/>
      </c>
      <c r="G81" s="37" t="n">
        <v>2030</v>
      </c>
    </row>
    <row r="84">
      <c r="A84" s="2" t="inlineStr">
        <is>
          <t>ANNUAL SUMMARY</t>
        </is>
      </c>
    </row>
    <row r="85">
      <c r="A85" s="40" t="inlineStr">
        <is>
          <t>Year</t>
        </is>
      </c>
      <c r="B85" s="40" t="inlineStr">
        <is>
          <t>Beginning Balance</t>
        </is>
      </c>
      <c r="C85" s="40" t="inlineStr">
        <is>
          <t>Total Interest</t>
        </is>
      </c>
      <c r="D85" s="40" t="inlineStr">
        <is>
          <t>Total Principal</t>
        </is>
      </c>
      <c r="E85" s="40" t="inlineStr">
        <is>
          <t>Ending Balance</t>
        </is>
      </c>
    </row>
    <row r="86">
      <c r="A86" s="37" t="n">
        <v>2026</v>
      </c>
      <c r="B86" s="39">
        <f>C24</f>
        <v/>
      </c>
      <c r="C86" s="39">
        <f>SUM(D24:D35)</f>
        <v/>
      </c>
      <c r="D86" s="39">
        <f>SUM(E24:E35)</f>
        <v/>
      </c>
      <c r="E86" s="39">
        <f>F35</f>
        <v/>
      </c>
    </row>
    <row r="87">
      <c r="A87" s="37" t="n">
        <v>2027</v>
      </c>
      <c r="B87" s="39">
        <f>C36</f>
        <v/>
      </c>
      <c r="C87" s="39">
        <f>SUM(D36:D47)</f>
        <v/>
      </c>
      <c r="D87" s="39">
        <f>SUM(E36:E47)</f>
        <v/>
      </c>
      <c r="E87" s="39">
        <f>F47</f>
        <v/>
      </c>
    </row>
    <row r="88">
      <c r="A88" s="37" t="n">
        <v>2028</v>
      </c>
      <c r="B88" s="39">
        <f>C48</f>
        <v/>
      </c>
      <c r="C88" s="39">
        <f>SUM(D48:D59)</f>
        <v/>
      </c>
      <c r="D88" s="39">
        <f>SUM(E48:E59)</f>
        <v/>
      </c>
      <c r="E88" s="39">
        <f>F59</f>
        <v/>
      </c>
    </row>
    <row r="89">
      <c r="A89" s="37" t="n">
        <v>2029</v>
      </c>
      <c r="B89" s="39">
        <f>C60</f>
        <v/>
      </c>
      <c r="C89" s="39">
        <f>SUM(D60:D71)</f>
        <v/>
      </c>
      <c r="D89" s="39">
        <f>SUM(E60:E71)</f>
        <v/>
      </c>
      <c r="E89" s="39">
        <f>F71</f>
        <v/>
      </c>
    </row>
    <row r="90">
      <c r="A90" s="37" t="n">
        <v>2030</v>
      </c>
      <c r="B90" s="39">
        <f>C72</f>
        <v/>
      </c>
      <c r="C90" s="39">
        <f>SUM(D72:D81)</f>
        <v/>
      </c>
      <c r="D90" s="39">
        <f>SUM(E72:E81)</f>
        <v/>
      </c>
      <c r="E90" s="39">
        <f>F81</f>
        <v/>
      </c>
    </row>
    <row r="93">
      <c r="A93" s="1" t="inlineStr">
        <is>
          <t>CURRENT BALANCE (for DS link):</t>
        </is>
      </c>
      <c r="B93" s="31">
        <f>$B$7</f>
        <v/>
      </c>
    </row>
  </sheetData>
  <mergeCells count="4">
    <mergeCell ref="A1:C1"/>
    <mergeCell ref="A22:G22"/>
    <mergeCell ref="A12:C12"/>
    <mergeCell ref="A84:F84"/>
  </mergeCells>
  <pageMargins left="0.75" right="0.75" top="1" bottom="1" header="0.5" footer="0.5"/>
  <legacyDrawing xmlns:r="http://schemas.openxmlformats.org/officeDocument/2006/relationships" r:id="anysvml"/>
</worksheet>
</file>

<file path=xl/worksheets/sheet56.xml><?xml version="1.0" encoding="utf-8"?>
<worksheet xmlns="http://schemas.openxmlformats.org/spreadsheetml/2006/main">
  <sheetPr>
    <tabColor rgb="00808080"/>
    <outlinePr summaryBelow="1" summaryRight="1"/>
    <pageSetUpPr/>
  </sheetPr>
  <dimension ref="A1:G35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6" customWidth="1" min="3" max="3"/>
    <col width="14" customWidth="1" min="4" max="4"/>
    <col width="14" customWidth="1" min="5" max="5"/>
    <col width="16" customWidth="1" min="6" max="6"/>
    <col width="20" customWidth="1" min="7" max="7"/>
  </cols>
  <sheetData>
    <row r="1">
      <c r="A1" s="1" t="inlineStr">
        <is>
          <t>Lender</t>
        </is>
      </c>
      <c r="B1" t="inlineStr">
        <is>
          <t>BMO</t>
        </is>
      </c>
    </row>
    <row r="2">
      <c r="A2" s="1" t="inlineStr">
        <is>
          <t>Loan ID</t>
        </is>
      </c>
      <c r="B2" t="inlineStr">
        <is>
          <t>05-2938-000-000-00</t>
        </is>
      </c>
    </row>
    <row r="3">
      <c r="A3" s="1" t="inlineStr">
        <is>
          <t>Loan Number</t>
        </is>
      </c>
      <c r="B3" t="inlineStr">
        <is>
          <t>9334399001</t>
        </is>
      </c>
    </row>
    <row r="4">
      <c r="A4" s="1" t="inlineStr">
        <is>
          <t>Description</t>
        </is>
      </c>
      <c r="B4" t="inlineStr">
        <is>
          <t>25 Trailers</t>
        </is>
      </c>
    </row>
    <row r="5">
      <c r="A5" s="1" t="inlineStr">
        <is>
          <t>Collateral</t>
        </is>
      </c>
      <c r="B5" t="inlineStr">
        <is>
          <t>Equipment - Trailers</t>
        </is>
      </c>
    </row>
    <row r="6">
      <c r="A6" s="1" t="inlineStr">
        <is>
          <t>Opening Balance (12/31/2025)</t>
        </is>
      </c>
      <c r="B6" s="26" t="n">
        <v>126656</v>
      </c>
    </row>
    <row r="7">
      <c r="A7" s="1" t="inlineStr">
        <is>
          <t>Annual Interest Rate</t>
        </is>
      </c>
      <c r="B7" s="6" t="n">
        <v>0.038</v>
      </c>
    </row>
    <row r="8">
      <c r="A8" s="1" t="inlineStr">
        <is>
          <t>Monthly Payment</t>
        </is>
      </c>
      <c r="B8" s="26" t="n">
        <v>14022</v>
      </c>
    </row>
    <row r="9">
      <c r="A9" s="1" t="inlineStr">
        <is>
          <t>Origination Date</t>
        </is>
      </c>
      <c r="B9" t="inlineStr">
        <is>
          <t>2019-03-12</t>
        </is>
      </c>
    </row>
    <row r="10">
      <c r="A10" s="1" t="inlineStr">
        <is>
          <t>Maturity Date</t>
        </is>
      </c>
      <c r="B10" t="inlineStr">
        <is>
          <t>2026-09-01</t>
        </is>
      </c>
    </row>
    <row r="12">
      <c r="A12" s="47" t="inlineStr">
        <is>
          <t>LOAN ANALYSIS</t>
        </is>
      </c>
    </row>
    <row r="13">
      <c r="A13" s="9" t="inlineStr">
        <is>
          <t>Loan Type: AMORTIZING - Standard equipment loan with fixed monthly payments</t>
        </is>
      </c>
    </row>
    <row r="14">
      <c r="A14" s="9" t="inlineStr">
        <is>
          <t>Collateral: Equipment - Trailers</t>
        </is>
      </c>
    </row>
    <row r="15">
      <c r="A15" s="9" t="inlineStr">
        <is>
          <t>Original Amount: $996,652.50 originated 2019-03-12</t>
        </is>
      </c>
    </row>
    <row r="16">
      <c r="A16" s="9" t="inlineStr">
        <is>
          <t>Remaining Term: Payments until maturity 2026-09-01</t>
        </is>
      </c>
    </row>
    <row r="17">
      <c r="A17" s="9" t="inlineStr">
        <is>
          <t>Amortization: Monthly interest accrual on declining balance</t>
        </is>
      </c>
    </row>
    <row r="18">
      <c r="A18" s="9" t="inlineStr">
        <is>
          <t>Note: MAX(0,...) formulas prevent negative values at loan payoff</t>
        </is>
      </c>
    </row>
    <row r="22">
      <c r="A22" s="48" t="inlineStr">
        <is>
          <t>Month #</t>
        </is>
      </c>
      <c r="B22" s="48" t="inlineStr">
        <is>
          <t>Date</t>
        </is>
      </c>
      <c r="C22" s="48" t="inlineStr">
        <is>
          <t>Opening Balance</t>
        </is>
      </c>
      <c r="D22" s="48" t="inlineStr">
        <is>
          <t>Interest</t>
        </is>
      </c>
      <c r="E22" s="48" t="inlineStr">
        <is>
          <t>Principal</t>
        </is>
      </c>
      <c r="F22" s="48" t="inlineStr">
        <is>
          <t>Closing Balance</t>
        </is>
      </c>
      <c r="G22" s="48" t="inlineStr">
        <is>
          <t>Year</t>
        </is>
      </c>
    </row>
    <row r="23">
      <c r="A23" s="37" t="n">
        <v>1</v>
      </c>
      <c r="B23" s="37" t="inlineStr">
        <is>
          <t>01/01/2026</t>
        </is>
      </c>
      <c r="C23" s="45">
        <f>$B$6</f>
        <v/>
      </c>
      <c r="D23" s="45">
        <f>MAX(0,C23*$B$7/12)</f>
        <v/>
      </c>
      <c r="E23" s="45">
        <f>MAX(0,MIN(C23,$B$8-D23))</f>
        <v/>
      </c>
      <c r="F23" s="45">
        <f>MAX(0,C23-E23)</f>
        <v/>
      </c>
      <c r="G23" s="37" t="n">
        <v>2026</v>
      </c>
    </row>
    <row r="24">
      <c r="A24" s="37" t="n">
        <v>2</v>
      </c>
      <c r="B24" s="37" t="inlineStr">
        <is>
          <t>02/01/2026</t>
        </is>
      </c>
      <c r="C24" s="45">
        <f>F23</f>
        <v/>
      </c>
      <c r="D24" s="45">
        <f>MAX(0,C24*$B$7/12)</f>
        <v/>
      </c>
      <c r="E24" s="45">
        <f>MAX(0,MIN(C24,$B$8-D24))</f>
        <v/>
      </c>
      <c r="F24" s="45">
        <f>MAX(0,C24-E24)</f>
        <v/>
      </c>
      <c r="G24" s="37" t="n">
        <v>2026</v>
      </c>
    </row>
    <row r="25">
      <c r="A25" s="37" t="n">
        <v>3</v>
      </c>
      <c r="B25" s="37" t="inlineStr">
        <is>
          <t>03/01/2026</t>
        </is>
      </c>
      <c r="C25" s="45">
        <f>F24</f>
        <v/>
      </c>
      <c r="D25" s="45">
        <f>MAX(0,C25*$B$7/12)</f>
        <v/>
      </c>
      <c r="E25" s="45">
        <f>MAX(0,MIN(C25,$B$8-D25))</f>
        <v/>
      </c>
      <c r="F25" s="45">
        <f>MAX(0,C25-E25)</f>
        <v/>
      </c>
      <c r="G25" s="37" t="n">
        <v>2026</v>
      </c>
    </row>
    <row r="26">
      <c r="A26" s="37" t="n">
        <v>4</v>
      </c>
      <c r="B26" s="37" t="inlineStr">
        <is>
          <t>04/01/2026</t>
        </is>
      </c>
      <c r="C26" s="45">
        <f>F25</f>
        <v/>
      </c>
      <c r="D26" s="45">
        <f>MAX(0,C26*$B$7/12)</f>
        <v/>
      </c>
      <c r="E26" s="45">
        <f>MAX(0,MIN(C26,$B$8-D26))</f>
        <v/>
      </c>
      <c r="F26" s="45">
        <f>MAX(0,C26-E26)</f>
        <v/>
      </c>
      <c r="G26" s="37" t="n">
        <v>2026</v>
      </c>
    </row>
    <row r="27">
      <c r="A27" s="37" t="n">
        <v>5</v>
      </c>
      <c r="B27" s="37" t="inlineStr">
        <is>
          <t>05/01/2026</t>
        </is>
      </c>
      <c r="C27" s="45">
        <f>F26</f>
        <v/>
      </c>
      <c r="D27" s="45">
        <f>MAX(0,C27*$B$7/12)</f>
        <v/>
      </c>
      <c r="E27" s="45">
        <f>MAX(0,MIN(C27,$B$8-D27))</f>
        <v/>
      </c>
      <c r="F27" s="45">
        <f>MAX(0,C27-E27)</f>
        <v/>
      </c>
      <c r="G27" s="37" t="n">
        <v>2026</v>
      </c>
    </row>
    <row r="28">
      <c r="A28" s="37" t="n">
        <v>6</v>
      </c>
      <c r="B28" s="37" t="inlineStr">
        <is>
          <t>06/01/2026</t>
        </is>
      </c>
      <c r="C28" s="45">
        <f>F27</f>
        <v/>
      </c>
      <c r="D28" s="45">
        <f>MAX(0,C28*$B$7/12)</f>
        <v/>
      </c>
      <c r="E28" s="45">
        <f>MAX(0,MIN(C28,$B$8-D28))</f>
        <v/>
      </c>
      <c r="F28" s="45">
        <f>MAX(0,C28-E28)</f>
        <v/>
      </c>
      <c r="G28" s="37" t="n">
        <v>2026</v>
      </c>
    </row>
    <row r="29">
      <c r="A29" s="37" t="n">
        <v>7</v>
      </c>
      <c r="B29" s="37" t="inlineStr">
        <is>
          <t>07/01/2026</t>
        </is>
      </c>
      <c r="C29" s="45">
        <f>F28</f>
        <v/>
      </c>
      <c r="D29" s="45">
        <f>MAX(0,C29*$B$7/12)</f>
        <v/>
      </c>
      <c r="E29" s="45">
        <f>MAX(0,MIN(C29,$B$8-D29))</f>
        <v/>
      </c>
      <c r="F29" s="45">
        <f>MAX(0,C29-E29)</f>
        <v/>
      </c>
      <c r="G29" s="37" t="n">
        <v>2026</v>
      </c>
    </row>
    <row r="30">
      <c r="A30" s="37" t="n">
        <v>8</v>
      </c>
      <c r="B30" s="37" t="inlineStr">
        <is>
          <t>08/01/2026</t>
        </is>
      </c>
      <c r="C30" s="45">
        <f>F29</f>
        <v/>
      </c>
      <c r="D30" s="45">
        <f>MAX(0,C30*$B$7/12)</f>
        <v/>
      </c>
      <c r="E30" s="45">
        <f>MAX(0,MIN(C30,$B$8-D30))</f>
        <v/>
      </c>
      <c r="F30" s="45">
        <f>MAX(0,C30-E30)</f>
        <v/>
      </c>
      <c r="G30" s="37" t="n">
        <v>2026</v>
      </c>
    </row>
    <row r="31">
      <c r="A31" s="37" t="n">
        <v>9</v>
      </c>
      <c r="B31" s="37" t="inlineStr">
        <is>
          <t>09/01/2026</t>
        </is>
      </c>
      <c r="C31" s="45">
        <f>F30</f>
        <v/>
      </c>
      <c r="D31" s="45">
        <f>MAX(0,C31*$B$7/12)</f>
        <v/>
      </c>
      <c r="E31" s="45">
        <f>MAX(0,MIN(C31,$B$8-D31))</f>
        <v/>
      </c>
      <c r="F31" s="45">
        <f>MAX(0,C31-E31)</f>
        <v/>
      </c>
      <c r="G31" s="37" t="n">
        <v>2026</v>
      </c>
    </row>
    <row r="33">
      <c r="A33" s="49" t="inlineStr">
        <is>
          <t>ANNUAL SUMMARY</t>
        </is>
      </c>
    </row>
    <row r="34">
      <c r="A34" s="50" t="inlineStr">
        <is>
          <t>Year</t>
        </is>
      </c>
      <c r="C34" s="50" t="inlineStr">
        <is>
          <t>Beg Balance</t>
        </is>
      </c>
      <c r="D34" s="50" t="inlineStr">
        <is>
          <t>Total Interest</t>
        </is>
      </c>
      <c r="E34" s="50" t="inlineStr">
        <is>
          <t>Total Principal</t>
        </is>
      </c>
      <c r="F34" s="50" t="inlineStr">
        <is>
          <t>End Balance</t>
        </is>
      </c>
    </row>
    <row r="35">
      <c r="A35" s="37" t="n">
        <v>2026</v>
      </c>
      <c r="C35" s="39">
        <f>C23</f>
        <v/>
      </c>
      <c r="D35" s="39">
        <f>SUM(D23:D31)</f>
        <v/>
      </c>
      <c r="E35" s="39">
        <f>SUM(E23:E31)</f>
        <v/>
      </c>
      <c r="F35" s="39">
        <f>F31</f>
        <v/>
      </c>
    </row>
  </sheetData>
  <mergeCells count="8">
    <mergeCell ref="A13:G13"/>
    <mergeCell ref="A14:G14"/>
    <mergeCell ref="A17:G17"/>
    <mergeCell ref="A18:G18"/>
    <mergeCell ref="A12:G12"/>
    <mergeCell ref="A16:G16"/>
    <mergeCell ref="A15:G15"/>
    <mergeCell ref="A33:G33"/>
  </mergeCells>
  <pageMargins left="0.75" right="0.75" top="1" bottom="1" header="0.5" footer="0.5"/>
  <legacyDrawing xmlns:r="http://schemas.openxmlformats.org/officeDocument/2006/relationships" r:id="anysvml"/>
</worksheet>
</file>

<file path=xl/worksheets/sheet57.xml><?xml version="1.0" encoding="utf-8"?>
<worksheet xmlns="http://schemas.openxmlformats.org/spreadsheetml/2006/main">
  <sheetPr>
    <tabColor rgb="00808080"/>
    <outlinePr summaryBelow="1" summaryRight="1"/>
    <pageSetUpPr/>
  </sheetPr>
  <dimension ref="A1:G40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6" customWidth="1" min="3" max="3"/>
    <col width="14" customWidth="1" min="4" max="4"/>
    <col width="14" customWidth="1" min="5" max="5"/>
    <col width="16" customWidth="1" min="6" max="6"/>
    <col width="20" customWidth="1" min="7" max="7"/>
  </cols>
  <sheetData>
    <row r="1">
      <c r="A1" s="1" t="inlineStr">
        <is>
          <t>Lender</t>
        </is>
      </c>
      <c r="B1" t="inlineStr">
        <is>
          <t>BMO</t>
        </is>
      </c>
    </row>
    <row r="2">
      <c r="A2" s="1" t="inlineStr">
        <is>
          <t>Loan ID</t>
        </is>
      </c>
      <c r="B2" t="inlineStr">
        <is>
          <t>05-2948-000-000-00</t>
        </is>
      </c>
    </row>
    <row r="3">
      <c r="A3" s="1" t="inlineStr">
        <is>
          <t>Loan Number</t>
        </is>
      </c>
      <c r="B3" t="inlineStr">
        <is>
          <t>9310002001</t>
        </is>
      </c>
    </row>
    <row r="4">
      <c r="A4" s="1" t="inlineStr">
        <is>
          <t>Description</t>
        </is>
      </c>
      <c r="B4" t="inlineStr">
        <is>
          <t>27 Trailers</t>
        </is>
      </c>
    </row>
    <row r="5">
      <c r="A5" s="1" t="inlineStr">
        <is>
          <t>Collateral</t>
        </is>
      </c>
      <c r="B5" t="inlineStr">
        <is>
          <t>Equipment - Trailers</t>
        </is>
      </c>
    </row>
    <row r="6">
      <c r="A6" s="1" t="inlineStr">
        <is>
          <t>Opening Balance (12/31/2025)</t>
        </is>
      </c>
      <c r="B6" s="26" t="n">
        <v>194623</v>
      </c>
    </row>
    <row r="7">
      <c r="A7" s="1" t="inlineStr">
        <is>
          <t>Annual Interest Rate</t>
        </is>
      </c>
      <c r="B7" s="6" t="n">
        <v>0.037</v>
      </c>
    </row>
    <row r="8">
      <c r="A8" s="1" t="inlineStr">
        <is>
          <t>Monthly Payment</t>
        </is>
      </c>
      <c r="B8" s="26" t="n">
        <v>14431</v>
      </c>
    </row>
    <row r="9">
      <c r="A9" s="1" t="inlineStr">
        <is>
          <t>Origination Date</t>
        </is>
      </c>
      <c r="B9" t="inlineStr">
        <is>
          <t>2019-10-01</t>
        </is>
      </c>
    </row>
    <row r="10">
      <c r="A10" s="1" t="inlineStr">
        <is>
          <t>Maturity Date</t>
        </is>
      </c>
      <c r="B10" t="inlineStr">
        <is>
          <t>2027-01-01</t>
        </is>
      </c>
    </row>
    <row r="12">
      <c r="A12" s="47" t="inlineStr">
        <is>
          <t>LOAN ANALYSIS</t>
        </is>
      </c>
    </row>
    <row r="13">
      <c r="A13" s="9" t="inlineStr">
        <is>
          <t>Loan Type: AMORTIZING - Standard equipment loan with fixed monthly payments</t>
        </is>
      </c>
    </row>
    <row r="14">
      <c r="A14" s="9" t="inlineStr">
        <is>
          <t>Collateral: Equipment - Trailers</t>
        </is>
      </c>
    </row>
    <row r="15">
      <c r="A15" s="9" t="inlineStr">
        <is>
          <t>Original Amount: $1,066,160.00 originated 2019-10-01</t>
        </is>
      </c>
    </row>
    <row r="16">
      <c r="A16" s="9" t="inlineStr">
        <is>
          <t>Remaining Term: Payments until maturity 2027-01-01</t>
        </is>
      </c>
    </row>
    <row r="17">
      <c r="A17" s="9" t="inlineStr">
        <is>
          <t>Amortization: Monthly interest accrual on declining balance</t>
        </is>
      </c>
    </row>
    <row r="18">
      <c r="A18" s="9" t="inlineStr">
        <is>
          <t>Note: MAX(0,...) formulas prevent negative values at loan payoff</t>
        </is>
      </c>
    </row>
    <row r="22">
      <c r="A22" s="48" t="inlineStr">
        <is>
          <t>Month #</t>
        </is>
      </c>
      <c r="B22" s="48" t="inlineStr">
        <is>
          <t>Date</t>
        </is>
      </c>
      <c r="C22" s="48" t="inlineStr">
        <is>
          <t>Opening Balance</t>
        </is>
      </c>
      <c r="D22" s="48" t="inlineStr">
        <is>
          <t>Interest</t>
        </is>
      </c>
      <c r="E22" s="48" t="inlineStr">
        <is>
          <t>Principal</t>
        </is>
      </c>
      <c r="F22" s="48" t="inlineStr">
        <is>
          <t>Closing Balance</t>
        </is>
      </c>
      <c r="G22" s="48" t="inlineStr">
        <is>
          <t>Year</t>
        </is>
      </c>
    </row>
    <row r="23">
      <c r="A23" s="37" t="n">
        <v>1</v>
      </c>
      <c r="B23" s="37" t="inlineStr">
        <is>
          <t>01/01/2026</t>
        </is>
      </c>
      <c r="C23" s="45">
        <f>$B$6</f>
        <v/>
      </c>
      <c r="D23" s="45">
        <f>MAX(0,C23*$B$7/12)</f>
        <v/>
      </c>
      <c r="E23" s="45">
        <f>MAX(0,MIN(C23,$B$8-D23))</f>
        <v/>
      </c>
      <c r="F23" s="45">
        <f>MAX(0,C23-E23)</f>
        <v/>
      </c>
      <c r="G23" s="37" t="n">
        <v>2026</v>
      </c>
    </row>
    <row r="24">
      <c r="A24" s="37" t="n">
        <v>2</v>
      </c>
      <c r="B24" s="37" t="inlineStr">
        <is>
          <t>02/01/2026</t>
        </is>
      </c>
      <c r="C24" s="45">
        <f>F23</f>
        <v/>
      </c>
      <c r="D24" s="45">
        <f>MAX(0,C24*$B$7/12)</f>
        <v/>
      </c>
      <c r="E24" s="45">
        <f>MAX(0,MIN(C24,$B$8-D24))</f>
        <v/>
      </c>
      <c r="F24" s="45">
        <f>MAX(0,C24-E24)</f>
        <v/>
      </c>
      <c r="G24" s="37" t="n">
        <v>2026</v>
      </c>
    </row>
    <row r="25">
      <c r="A25" s="37" t="n">
        <v>3</v>
      </c>
      <c r="B25" s="37" t="inlineStr">
        <is>
          <t>03/01/2026</t>
        </is>
      </c>
      <c r="C25" s="45">
        <f>F24</f>
        <v/>
      </c>
      <c r="D25" s="45">
        <f>MAX(0,C25*$B$7/12)</f>
        <v/>
      </c>
      <c r="E25" s="45">
        <f>MAX(0,MIN(C25,$B$8-D25))</f>
        <v/>
      </c>
      <c r="F25" s="45">
        <f>MAX(0,C25-E25)</f>
        <v/>
      </c>
      <c r="G25" s="37" t="n">
        <v>2026</v>
      </c>
    </row>
    <row r="26">
      <c r="A26" s="37" t="n">
        <v>4</v>
      </c>
      <c r="B26" s="37" t="inlineStr">
        <is>
          <t>04/01/2026</t>
        </is>
      </c>
      <c r="C26" s="45">
        <f>F25</f>
        <v/>
      </c>
      <c r="D26" s="45">
        <f>MAX(0,C26*$B$7/12)</f>
        <v/>
      </c>
      <c r="E26" s="45">
        <f>MAX(0,MIN(C26,$B$8-D26))</f>
        <v/>
      </c>
      <c r="F26" s="45">
        <f>MAX(0,C26-E26)</f>
        <v/>
      </c>
      <c r="G26" s="37" t="n">
        <v>2026</v>
      </c>
    </row>
    <row r="27">
      <c r="A27" s="37" t="n">
        <v>5</v>
      </c>
      <c r="B27" s="37" t="inlineStr">
        <is>
          <t>05/01/2026</t>
        </is>
      </c>
      <c r="C27" s="45">
        <f>F26</f>
        <v/>
      </c>
      <c r="D27" s="45">
        <f>MAX(0,C27*$B$7/12)</f>
        <v/>
      </c>
      <c r="E27" s="45">
        <f>MAX(0,MIN(C27,$B$8-D27))</f>
        <v/>
      </c>
      <c r="F27" s="45">
        <f>MAX(0,C27-E27)</f>
        <v/>
      </c>
      <c r="G27" s="37" t="n">
        <v>2026</v>
      </c>
    </row>
    <row r="28">
      <c r="A28" s="37" t="n">
        <v>6</v>
      </c>
      <c r="B28" s="37" t="inlineStr">
        <is>
          <t>06/01/2026</t>
        </is>
      </c>
      <c r="C28" s="45">
        <f>F27</f>
        <v/>
      </c>
      <c r="D28" s="45">
        <f>MAX(0,C28*$B$7/12)</f>
        <v/>
      </c>
      <c r="E28" s="45">
        <f>MAX(0,MIN(C28,$B$8-D28))</f>
        <v/>
      </c>
      <c r="F28" s="45">
        <f>MAX(0,C28-E28)</f>
        <v/>
      </c>
      <c r="G28" s="37" t="n">
        <v>2026</v>
      </c>
    </row>
    <row r="29">
      <c r="A29" s="37" t="n">
        <v>7</v>
      </c>
      <c r="B29" s="37" t="inlineStr">
        <is>
          <t>07/01/2026</t>
        </is>
      </c>
      <c r="C29" s="45">
        <f>F28</f>
        <v/>
      </c>
      <c r="D29" s="45">
        <f>MAX(0,C29*$B$7/12)</f>
        <v/>
      </c>
      <c r="E29" s="45">
        <f>MAX(0,MIN(C29,$B$8-D29))</f>
        <v/>
      </c>
      <c r="F29" s="45">
        <f>MAX(0,C29-E29)</f>
        <v/>
      </c>
      <c r="G29" s="37" t="n">
        <v>2026</v>
      </c>
    </row>
    <row r="30">
      <c r="A30" s="37" t="n">
        <v>8</v>
      </c>
      <c r="B30" s="37" t="inlineStr">
        <is>
          <t>08/01/2026</t>
        </is>
      </c>
      <c r="C30" s="45">
        <f>F29</f>
        <v/>
      </c>
      <c r="D30" s="45">
        <f>MAX(0,C30*$B$7/12)</f>
        <v/>
      </c>
      <c r="E30" s="45">
        <f>MAX(0,MIN(C30,$B$8-D30))</f>
        <v/>
      </c>
      <c r="F30" s="45">
        <f>MAX(0,C30-E30)</f>
        <v/>
      </c>
      <c r="G30" s="37" t="n">
        <v>2026</v>
      </c>
    </row>
    <row r="31">
      <c r="A31" s="37" t="n">
        <v>9</v>
      </c>
      <c r="B31" s="37" t="inlineStr">
        <is>
          <t>09/01/2026</t>
        </is>
      </c>
      <c r="C31" s="45">
        <f>F30</f>
        <v/>
      </c>
      <c r="D31" s="45">
        <f>MAX(0,C31*$B$7/12)</f>
        <v/>
      </c>
      <c r="E31" s="45">
        <f>MAX(0,MIN(C31,$B$8-D31))</f>
        <v/>
      </c>
      <c r="F31" s="45">
        <f>MAX(0,C31-E31)</f>
        <v/>
      </c>
      <c r="G31" s="37" t="n">
        <v>2026</v>
      </c>
    </row>
    <row r="32">
      <c r="A32" s="37" t="n">
        <v>10</v>
      </c>
      <c r="B32" s="37" t="inlineStr">
        <is>
          <t>10/01/2026</t>
        </is>
      </c>
      <c r="C32" s="45">
        <f>F31</f>
        <v/>
      </c>
      <c r="D32" s="45">
        <f>MAX(0,C32*$B$7/12)</f>
        <v/>
      </c>
      <c r="E32" s="45">
        <f>MAX(0,MIN(C32,$B$8-D32))</f>
        <v/>
      </c>
      <c r="F32" s="45">
        <f>MAX(0,C32-E32)</f>
        <v/>
      </c>
      <c r="G32" s="37" t="n">
        <v>2026</v>
      </c>
    </row>
    <row r="33">
      <c r="A33" s="37" t="n">
        <v>11</v>
      </c>
      <c r="B33" s="37" t="inlineStr">
        <is>
          <t>11/01/2026</t>
        </is>
      </c>
      <c r="C33" s="45">
        <f>F32</f>
        <v/>
      </c>
      <c r="D33" s="45">
        <f>MAX(0,C33*$B$7/12)</f>
        <v/>
      </c>
      <c r="E33" s="45">
        <f>MAX(0,MIN(C33,$B$8-D33))</f>
        <v/>
      </c>
      <c r="F33" s="45">
        <f>MAX(0,C33-E33)</f>
        <v/>
      </c>
      <c r="G33" s="37" t="n">
        <v>2026</v>
      </c>
    </row>
    <row r="34">
      <c r="A34" s="37" t="n">
        <v>12</v>
      </c>
      <c r="B34" s="37" t="inlineStr">
        <is>
          <t>12/01/2026</t>
        </is>
      </c>
      <c r="C34" s="45">
        <f>F33</f>
        <v/>
      </c>
      <c r="D34" s="45">
        <f>MAX(0,C34*$B$7/12)</f>
        <v/>
      </c>
      <c r="E34" s="45">
        <f>MAX(0,MIN(C34,$B$8-D34))</f>
        <v/>
      </c>
      <c r="F34" s="45">
        <f>MAX(0,C34-E34)</f>
        <v/>
      </c>
      <c r="G34" s="37" t="n">
        <v>2026</v>
      </c>
    </row>
    <row r="35">
      <c r="A35" s="37" t="n">
        <v>13</v>
      </c>
      <c r="B35" s="37" t="inlineStr">
        <is>
          <t>01/01/2027</t>
        </is>
      </c>
      <c r="C35" s="45">
        <f>F34</f>
        <v/>
      </c>
      <c r="D35" s="45">
        <f>MAX(0,C35*$B$7/12)</f>
        <v/>
      </c>
      <c r="E35" s="45">
        <f>MAX(0,MIN(C35,$B$8-D35))</f>
        <v/>
      </c>
      <c r="F35" s="45">
        <f>MAX(0,C35-E35)</f>
        <v/>
      </c>
      <c r="G35" s="37" t="n">
        <v>2027</v>
      </c>
    </row>
    <row r="37">
      <c r="A37" s="49" t="inlineStr">
        <is>
          <t>ANNUAL SUMMARY</t>
        </is>
      </c>
    </row>
    <row r="38">
      <c r="A38" s="50" t="inlineStr">
        <is>
          <t>Year</t>
        </is>
      </c>
      <c r="C38" s="50" t="inlineStr">
        <is>
          <t>Beg Balance</t>
        </is>
      </c>
      <c r="D38" s="50" t="inlineStr">
        <is>
          <t>Total Interest</t>
        </is>
      </c>
      <c r="E38" s="50" t="inlineStr">
        <is>
          <t>Total Principal</t>
        </is>
      </c>
      <c r="F38" s="50" t="inlineStr">
        <is>
          <t>End Balance</t>
        </is>
      </c>
    </row>
    <row r="39">
      <c r="A39" s="37" t="n">
        <v>2026</v>
      </c>
      <c r="C39" s="39">
        <f>C23</f>
        <v/>
      </c>
      <c r="D39" s="39">
        <f>SUM(D23:D34)</f>
        <v/>
      </c>
      <c r="E39" s="39">
        <f>SUM(E23:E34)</f>
        <v/>
      </c>
      <c r="F39" s="39">
        <f>F34</f>
        <v/>
      </c>
    </row>
    <row r="40">
      <c r="A40" s="37" t="n">
        <v>2027</v>
      </c>
      <c r="C40" s="39">
        <f>C35</f>
        <v/>
      </c>
      <c r="D40" s="39">
        <f>SUM(D35:D35)</f>
        <v/>
      </c>
      <c r="E40" s="39">
        <f>SUM(E35:E35)</f>
        <v/>
      </c>
      <c r="F40" s="39">
        <f>F35</f>
        <v/>
      </c>
    </row>
  </sheetData>
  <mergeCells count="8">
    <mergeCell ref="A13:G13"/>
    <mergeCell ref="A14:G14"/>
    <mergeCell ref="A17:G17"/>
    <mergeCell ref="A18:G18"/>
    <mergeCell ref="A12:G12"/>
    <mergeCell ref="A16:G16"/>
    <mergeCell ref="A15:G15"/>
    <mergeCell ref="A37:G37"/>
  </mergeCells>
  <pageMargins left="0.75" right="0.75" top="1" bottom="1" header="0.5" footer="0.5"/>
  <legacyDrawing xmlns:r="http://schemas.openxmlformats.org/officeDocument/2006/relationships" r:id="anysvml"/>
</worksheet>
</file>

<file path=xl/worksheets/sheet58.xml><?xml version="1.0" encoding="utf-8"?>
<worksheet xmlns="http://schemas.openxmlformats.org/spreadsheetml/2006/main">
  <sheetPr>
    <tabColor rgb="00808080"/>
    <outlinePr summaryBelow="1" summaryRight="1"/>
    <pageSetUpPr/>
  </sheetPr>
  <dimension ref="A1:G48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6" customWidth="1" min="3" max="3"/>
    <col width="14" customWidth="1" min="4" max="4"/>
    <col width="14" customWidth="1" min="5" max="5"/>
    <col width="16" customWidth="1" min="6" max="6"/>
    <col width="20" customWidth="1" min="7" max="7"/>
  </cols>
  <sheetData>
    <row r="1">
      <c r="A1" s="1" t="inlineStr">
        <is>
          <t>Lender</t>
        </is>
      </c>
      <c r="B1" t="inlineStr">
        <is>
          <t>BMO</t>
        </is>
      </c>
    </row>
    <row r="2">
      <c r="A2" s="1" t="inlineStr">
        <is>
          <t>Loan ID</t>
        </is>
      </c>
      <c r="B2" t="inlineStr">
        <is>
          <t>05-2929-000-000-00</t>
        </is>
      </c>
    </row>
    <row r="3">
      <c r="A3" s="1" t="inlineStr">
        <is>
          <t>Loan Number</t>
        </is>
      </c>
      <c r="B3" t="inlineStr">
        <is>
          <t>9326429001</t>
        </is>
      </c>
    </row>
    <row r="4">
      <c r="A4" s="1" t="inlineStr">
        <is>
          <t>Description</t>
        </is>
      </c>
      <c r="B4" t="inlineStr">
        <is>
          <t>25 Trailers</t>
        </is>
      </c>
    </row>
    <row r="5">
      <c r="A5" s="1" t="inlineStr">
        <is>
          <t>Collateral</t>
        </is>
      </c>
      <c r="B5" t="inlineStr">
        <is>
          <t>Equipment - Trailers</t>
        </is>
      </c>
    </row>
    <row r="6">
      <c r="A6" s="1" t="inlineStr">
        <is>
          <t>Opening Balance (12/31/2025)</t>
        </is>
      </c>
      <c r="B6" s="26" t="n">
        <v>262787</v>
      </c>
    </row>
    <row r="7">
      <c r="A7" s="1" t="inlineStr">
        <is>
          <t>Annual Interest Rate</t>
        </is>
      </c>
      <c r="B7" s="6" t="n">
        <v>0.037</v>
      </c>
    </row>
    <row r="8">
      <c r="A8" s="1" t="inlineStr">
        <is>
          <t>Monthly Payment</t>
        </is>
      </c>
      <c r="B8" s="26" t="n">
        <v>12945</v>
      </c>
    </row>
    <row r="9">
      <c r="A9" s="1" t="inlineStr">
        <is>
          <t>Origination Date</t>
        </is>
      </c>
      <c r="B9" t="inlineStr">
        <is>
          <t>2020-09-03</t>
        </is>
      </c>
    </row>
    <row r="10">
      <c r="A10" s="1" t="inlineStr">
        <is>
          <t>Maturity Date</t>
        </is>
      </c>
      <c r="B10" t="inlineStr">
        <is>
          <t>2027-09-03</t>
        </is>
      </c>
    </row>
    <row r="12">
      <c r="A12" s="47" t="inlineStr">
        <is>
          <t>LOAN ANALYSIS</t>
        </is>
      </c>
    </row>
    <row r="13">
      <c r="A13" s="9" t="inlineStr">
        <is>
          <t>Loan Type: AMORTIZING - Standard equipment loan with fixed monthly payments</t>
        </is>
      </c>
    </row>
    <row r="14">
      <c r="A14" s="9" t="inlineStr">
        <is>
          <t>Collateral: Equipment - Trailers</t>
        </is>
      </c>
    </row>
    <row r="15">
      <c r="A15" s="9" t="inlineStr">
        <is>
          <t>Original Amount: $956,375.00 originated 2020-09-03</t>
        </is>
      </c>
    </row>
    <row r="16">
      <c r="A16" s="9" t="inlineStr">
        <is>
          <t>Remaining Term: Payments until maturity 2027-09-03</t>
        </is>
      </c>
    </row>
    <row r="17">
      <c r="A17" s="9" t="inlineStr">
        <is>
          <t>Amortization: Monthly interest accrual on declining balance</t>
        </is>
      </c>
    </row>
    <row r="18">
      <c r="A18" s="9" t="inlineStr">
        <is>
          <t>Note: MAX(0,...) formulas prevent negative values at loan payoff</t>
        </is>
      </c>
    </row>
    <row r="22">
      <c r="A22" s="48" t="inlineStr">
        <is>
          <t>Month #</t>
        </is>
      </c>
      <c r="B22" s="48" t="inlineStr">
        <is>
          <t>Date</t>
        </is>
      </c>
      <c r="C22" s="48" t="inlineStr">
        <is>
          <t>Opening Balance</t>
        </is>
      </c>
      <c r="D22" s="48" t="inlineStr">
        <is>
          <t>Interest</t>
        </is>
      </c>
      <c r="E22" s="48" t="inlineStr">
        <is>
          <t>Principal</t>
        </is>
      </c>
      <c r="F22" s="48" t="inlineStr">
        <is>
          <t>Closing Balance</t>
        </is>
      </c>
      <c r="G22" s="48" t="inlineStr">
        <is>
          <t>Year</t>
        </is>
      </c>
    </row>
    <row r="23">
      <c r="A23" s="37" t="n">
        <v>1</v>
      </c>
      <c r="B23" s="37" t="inlineStr">
        <is>
          <t>01/01/2026</t>
        </is>
      </c>
      <c r="C23" s="45">
        <f>$B$6</f>
        <v/>
      </c>
      <c r="D23" s="45">
        <f>MAX(0,C23*$B$7/12)</f>
        <v/>
      </c>
      <c r="E23" s="45">
        <f>MAX(0,MIN(C23,$B$8-D23))</f>
        <v/>
      </c>
      <c r="F23" s="45">
        <f>MAX(0,C23-E23)</f>
        <v/>
      </c>
      <c r="G23" s="37" t="n">
        <v>2026</v>
      </c>
    </row>
    <row r="24">
      <c r="A24" s="37" t="n">
        <v>2</v>
      </c>
      <c r="B24" s="37" t="inlineStr">
        <is>
          <t>02/01/2026</t>
        </is>
      </c>
      <c r="C24" s="45">
        <f>F23</f>
        <v/>
      </c>
      <c r="D24" s="45">
        <f>MAX(0,C24*$B$7/12)</f>
        <v/>
      </c>
      <c r="E24" s="45">
        <f>MAX(0,MIN(C24,$B$8-D24))</f>
        <v/>
      </c>
      <c r="F24" s="45">
        <f>MAX(0,C24-E24)</f>
        <v/>
      </c>
      <c r="G24" s="37" t="n">
        <v>2026</v>
      </c>
    </row>
    <row r="25">
      <c r="A25" s="37" t="n">
        <v>3</v>
      </c>
      <c r="B25" s="37" t="inlineStr">
        <is>
          <t>03/01/2026</t>
        </is>
      </c>
      <c r="C25" s="45">
        <f>F24</f>
        <v/>
      </c>
      <c r="D25" s="45">
        <f>MAX(0,C25*$B$7/12)</f>
        <v/>
      </c>
      <c r="E25" s="45">
        <f>MAX(0,MIN(C25,$B$8-D25))</f>
        <v/>
      </c>
      <c r="F25" s="45">
        <f>MAX(0,C25-E25)</f>
        <v/>
      </c>
      <c r="G25" s="37" t="n">
        <v>2026</v>
      </c>
    </row>
    <row r="26">
      <c r="A26" s="37" t="n">
        <v>4</v>
      </c>
      <c r="B26" s="37" t="inlineStr">
        <is>
          <t>04/01/2026</t>
        </is>
      </c>
      <c r="C26" s="45">
        <f>F25</f>
        <v/>
      </c>
      <c r="D26" s="45">
        <f>MAX(0,C26*$B$7/12)</f>
        <v/>
      </c>
      <c r="E26" s="45">
        <f>MAX(0,MIN(C26,$B$8-D26))</f>
        <v/>
      </c>
      <c r="F26" s="45">
        <f>MAX(0,C26-E26)</f>
        <v/>
      </c>
      <c r="G26" s="37" t="n">
        <v>2026</v>
      </c>
    </row>
    <row r="27">
      <c r="A27" s="37" t="n">
        <v>5</v>
      </c>
      <c r="B27" s="37" t="inlineStr">
        <is>
          <t>05/01/2026</t>
        </is>
      </c>
      <c r="C27" s="45">
        <f>F26</f>
        <v/>
      </c>
      <c r="D27" s="45">
        <f>MAX(0,C27*$B$7/12)</f>
        <v/>
      </c>
      <c r="E27" s="45">
        <f>MAX(0,MIN(C27,$B$8-D27))</f>
        <v/>
      </c>
      <c r="F27" s="45">
        <f>MAX(0,C27-E27)</f>
        <v/>
      </c>
      <c r="G27" s="37" t="n">
        <v>2026</v>
      </c>
    </row>
    <row r="28">
      <c r="A28" s="37" t="n">
        <v>6</v>
      </c>
      <c r="B28" s="37" t="inlineStr">
        <is>
          <t>06/01/2026</t>
        </is>
      </c>
      <c r="C28" s="45">
        <f>F27</f>
        <v/>
      </c>
      <c r="D28" s="45">
        <f>MAX(0,C28*$B$7/12)</f>
        <v/>
      </c>
      <c r="E28" s="45">
        <f>MAX(0,MIN(C28,$B$8-D28))</f>
        <v/>
      </c>
      <c r="F28" s="45">
        <f>MAX(0,C28-E28)</f>
        <v/>
      </c>
      <c r="G28" s="37" t="n">
        <v>2026</v>
      </c>
    </row>
    <row r="29">
      <c r="A29" s="37" t="n">
        <v>7</v>
      </c>
      <c r="B29" s="37" t="inlineStr">
        <is>
          <t>07/01/2026</t>
        </is>
      </c>
      <c r="C29" s="45">
        <f>F28</f>
        <v/>
      </c>
      <c r="D29" s="45">
        <f>MAX(0,C29*$B$7/12)</f>
        <v/>
      </c>
      <c r="E29" s="45">
        <f>MAX(0,MIN(C29,$B$8-D29))</f>
        <v/>
      </c>
      <c r="F29" s="45">
        <f>MAX(0,C29-E29)</f>
        <v/>
      </c>
      <c r="G29" s="37" t="n">
        <v>2026</v>
      </c>
    </row>
    <row r="30">
      <c r="A30" s="37" t="n">
        <v>8</v>
      </c>
      <c r="B30" s="37" t="inlineStr">
        <is>
          <t>08/01/2026</t>
        </is>
      </c>
      <c r="C30" s="45">
        <f>F29</f>
        <v/>
      </c>
      <c r="D30" s="45">
        <f>MAX(0,C30*$B$7/12)</f>
        <v/>
      </c>
      <c r="E30" s="45">
        <f>MAX(0,MIN(C30,$B$8-D30))</f>
        <v/>
      </c>
      <c r="F30" s="45">
        <f>MAX(0,C30-E30)</f>
        <v/>
      </c>
      <c r="G30" s="37" t="n">
        <v>2026</v>
      </c>
    </row>
    <row r="31">
      <c r="A31" s="37" t="n">
        <v>9</v>
      </c>
      <c r="B31" s="37" t="inlineStr">
        <is>
          <t>09/01/2026</t>
        </is>
      </c>
      <c r="C31" s="45">
        <f>F30</f>
        <v/>
      </c>
      <c r="D31" s="45">
        <f>MAX(0,C31*$B$7/12)</f>
        <v/>
      </c>
      <c r="E31" s="45">
        <f>MAX(0,MIN(C31,$B$8-D31))</f>
        <v/>
      </c>
      <c r="F31" s="45">
        <f>MAX(0,C31-E31)</f>
        <v/>
      </c>
      <c r="G31" s="37" t="n">
        <v>2026</v>
      </c>
    </row>
    <row r="32">
      <c r="A32" s="37" t="n">
        <v>10</v>
      </c>
      <c r="B32" s="37" t="inlineStr">
        <is>
          <t>10/01/2026</t>
        </is>
      </c>
      <c r="C32" s="45">
        <f>F31</f>
        <v/>
      </c>
      <c r="D32" s="45">
        <f>MAX(0,C32*$B$7/12)</f>
        <v/>
      </c>
      <c r="E32" s="45">
        <f>MAX(0,MIN(C32,$B$8-D32))</f>
        <v/>
      </c>
      <c r="F32" s="45">
        <f>MAX(0,C32-E32)</f>
        <v/>
      </c>
      <c r="G32" s="37" t="n">
        <v>2026</v>
      </c>
    </row>
    <row r="33">
      <c r="A33" s="37" t="n">
        <v>11</v>
      </c>
      <c r="B33" s="37" t="inlineStr">
        <is>
          <t>11/01/2026</t>
        </is>
      </c>
      <c r="C33" s="45">
        <f>F32</f>
        <v/>
      </c>
      <c r="D33" s="45">
        <f>MAX(0,C33*$B$7/12)</f>
        <v/>
      </c>
      <c r="E33" s="45">
        <f>MAX(0,MIN(C33,$B$8-D33))</f>
        <v/>
      </c>
      <c r="F33" s="45">
        <f>MAX(0,C33-E33)</f>
        <v/>
      </c>
      <c r="G33" s="37" t="n">
        <v>2026</v>
      </c>
    </row>
    <row r="34">
      <c r="A34" s="37" t="n">
        <v>12</v>
      </c>
      <c r="B34" s="37" t="inlineStr">
        <is>
          <t>12/01/2026</t>
        </is>
      </c>
      <c r="C34" s="45">
        <f>F33</f>
        <v/>
      </c>
      <c r="D34" s="45">
        <f>MAX(0,C34*$B$7/12)</f>
        <v/>
      </c>
      <c r="E34" s="45">
        <f>MAX(0,MIN(C34,$B$8-D34))</f>
        <v/>
      </c>
      <c r="F34" s="45">
        <f>MAX(0,C34-E34)</f>
        <v/>
      </c>
      <c r="G34" s="37" t="n">
        <v>2026</v>
      </c>
    </row>
    <row r="35">
      <c r="A35" s="37" t="n">
        <v>13</v>
      </c>
      <c r="B35" s="37" t="inlineStr">
        <is>
          <t>01/01/2027</t>
        </is>
      </c>
      <c r="C35" s="45">
        <f>F34</f>
        <v/>
      </c>
      <c r="D35" s="45">
        <f>MAX(0,C35*$B$7/12)</f>
        <v/>
      </c>
      <c r="E35" s="45">
        <f>MAX(0,MIN(C35,$B$8-D35))</f>
        <v/>
      </c>
      <c r="F35" s="45">
        <f>MAX(0,C35-E35)</f>
        <v/>
      </c>
      <c r="G35" s="37" t="n">
        <v>2027</v>
      </c>
    </row>
    <row r="36">
      <c r="A36" s="37" t="n">
        <v>14</v>
      </c>
      <c r="B36" s="37" t="inlineStr">
        <is>
          <t>02/01/2027</t>
        </is>
      </c>
      <c r="C36" s="45">
        <f>F35</f>
        <v/>
      </c>
      <c r="D36" s="45">
        <f>MAX(0,C36*$B$7/12)</f>
        <v/>
      </c>
      <c r="E36" s="45">
        <f>MAX(0,MIN(C36,$B$8-D36))</f>
        <v/>
      </c>
      <c r="F36" s="45">
        <f>MAX(0,C36-E36)</f>
        <v/>
      </c>
      <c r="G36" s="37" t="n">
        <v>2027</v>
      </c>
    </row>
    <row r="37">
      <c r="A37" s="37" t="n">
        <v>15</v>
      </c>
      <c r="B37" s="37" t="inlineStr">
        <is>
          <t>03/01/2027</t>
        </is>
      </c>
      <c r="C37" s="45">
        <f>F36</f>
        <v/>
      </c>
      <c r="D37" s="45">
        <f>MAX(0,C37*$B$7/12)</f>
        <v/>
      </c>
      <c r="E37" s="45">
        <f>MAX(0,MIN(C37,$B$8-D37))</f>
        <v/>
      </c>
      <c r="F37" s="45">
        <f>MAX(0,C37-E37)</f>
        <v/>
      </c>
      <c r="G37" s="37" t="n">
        <v>2027</v>
      </c>
    </row>
    <row r="38">
      <c r="A38" s="37" t="n">
        <v>16</v>
      </c>
      <c r="B38" s="37" t="inlineStr">
        <is>
          <t>04/01/2027</t>
        </is>
      </c>
      <c r="C38" s="45">
        <f>F37</f>
        <v/>
      </c>
      <c r="D38" s="45">
        <f>MAX(0,C38*$B$7/12)</f>
        <v/>
      </c>
      <c r="E38" s="45">
        <f>MAX(0,MIN(C38,$B$8-D38))</f>
        <v/>
      </c>
      <c r="F38" s="45">
        <f>MAX(0,C38-E38)</f>
        <v/>
      </c>
      <c r="G38" s="37" t="n">
        <v>2027</v>
      </c>
    </row>
    <row r="39">
      <c r="A39" s="37" t="n">
        <v>17</v>
      </c>
      <c r="B39" s="37" t="inlineStr">
        <is>
          <t>05/01/2027</t>
        </is>
      </c>
      <c r="C39" s="45">
        <f>F38</f>
        <v/>
      </c>
      <c r="D39" s="45">
        <f>MAX(0,C39*$B$7/12)</f>
        <v/>
      </c>
      <c r="E39" s="45">
        <f>MAX(0,MIN(C39,$B$8-D39))</f>
        <v/>
      </c>
      <c r="F39" s="45">
        <f>MAX(0,C39-E39)</f>
        <v/>
      </c>
      <c r="G39" s="37" t="n">
        <v>2027</v>
      </c>
    </row>
    <row r="40">
      <c r="A40" s="37" t="n">
        <v>18</v>
      </c>
      <c r="B40" s="37" t="inlineStr">
        <is>
          <t>06/01/2027</t>
        </is>
      </c>
      <c r="C40" s="45">
        <f>F39</f>
        <v/>
      </c>
      <c r="D40" s="45">
        <f>MAX(0,C40*$B$7/12)</f>
        <v/>
      </c>
      <c r="E40" s="45">
        <f>MAX(0,MIN(C40,$B$8-D40))</f>
        <v/>
      </c>
      <c r="F40" s="45">
        <f>MAX(0,C40-E40)</f>
        <v/>
      </c>
      <c r="G40" s="37" t="n">
        <v>2027</v>
      </c>
    </row>
    <row r="41">
      <c r="A41" s="37" t="n">
        <v>19</v>
      </c>
      <c r="B41" s="37" t="inlineStr">
        <is>
          <t>07/01/2027</t>
        </is>
      </c>
      <c r="C41" s="45">
        <f>F40</f>
        <v/>
      </c>
      <c r="D41" s="45">
        <f>MAX(0,C41*$B$7/12)</f>
        <v/>
      </c>
      <c r="E41" s="45">
        <f>MAX(0,MIN(C41,$B$8-D41))</f>
        <v/>
      </c>
      <c r="F41" s="45">
        <f>MAX(0,C41-E41)</f>
        <v/>
      </c>
      <c r="G41" s="37" t="n">
        <v>2027</v>
      </c>
    </row>
    <row r="42">
      <c r="A42" s="37" t="n">
        <v>20</v>
      </c>
      <c r="B42" s="37" t="inlineStr">
        <is>
          <t>08/01/2027</t>
        </is>
      </c>
      <c r="C42" s="45">
        <f>F41</f>
        <v/>
      </c>
      <c r="D42" s="45">
        <f>MAX(0,C42*$B$7/12)</f>
        <v/>
      </c>
      <c r="E42" s="45">
        <f>MAX(0,MIN(C42,$B$8-D42))</f>
        <v/>
      </c>
      <c r="F42" s="45">
        <f>MAX(0,C42-E42)</f>
        <v/>
      </c>
      <c r="G42" s="37" t="n">
        <v>2027</v>
      </c>
    </row>
    <row r="43">
      <c r="A43" s="37" t="n">
        <v>21</v>
      </c>
      <c r="B43" s="37" t="inlineStr">
        <is>
          <t>09/01/2027</t>
        </is>
      </c>
      <c r="C43" s="45">
        <f>F42</f>
        <v/>
      </c>
      <c r="D43" s="45">
        <f>MAX(0,C43*$B$7/12)</f>
        <v/>
      </c>
      <c r="E43" s="45">
        <f>MAX(0,MIN(C43,$B$8-D43))</f>
        <v/>
      </c>
      <c r="F43" s="45">
        <f>MAX(0,C43-E43)</f>
        <v/>
      </c>
      <c r="G43" s="37" t="n">
        <v>2027</v>
      </c>
    </row>
    <row r="45">
      <c r="A45" s="49" t="inlineStr">
        <is>
          <t>ANNUAL SUMMARY</t>
        </is>
      </c>
    </row>
    <row r="46">
      <c r="A46" s="50" t="inlineStr">
        <is>
          <t>Year</t>
        </is>
      </c>
      <c r="C46" s="50" t="inlineStr">
        <is>
          <t>Beg Balance</t>
        </is>
      </c>
      <c r="D46" s="50" t="inlineStr">
        <is>
          <t>Total Interest</t>
        </is>
      </c>
      <c r="E46" s="50" t="inlineStr">
        <is>
          <t>Total Principal</t>
        </is>
      </c>
      <c r="F46" s="50" t="inlineStr">
        <is>
          <t>End Balance</t>
        </is>
      </c>
    </row>
    <row r="47">
      <c r="A47" s="37" t="n">
        <v>2026</v>
      </c>
      <c r="C47" s="39">
        <f>C23</f>
        <v/>
      </c>
      <c r="D47" s="39">
        <f>SUM(D23:D34)</f>
        <v/>
      </c>
      <c r="E47" s="39">
        <f>SUM(E23:E34)</f>
        <v/>
      </c>
      <c r="F47" s="39">
        <f>F34</f>
        <v/>
      </c>
    </row>
    <row r="48">
      <c r="A48" s="37" t="n">
        <v>2027</v>
      </c>
      <c r="C48" s="39">
        <f>C35</f>
        <v/>
      </c>
      <c r="D48" s="39">
        <f>SUM(D35:D43)</f>
        <v/>
      </c>
      <c r="E48" s="39">
        <f>SUM(E35:E43)</f>
        <v/>
      </c>
      <c r="F48" s="39">
        <f>F43</f>
        <v/>
      </c>
    </row>
  </sheetData>
  <mergeCells count="8">
    <mergeCell ref="A13:G13"/>
    <mergeCell ref="A14:G14"/>
    <mergeCell ref="A17:G17"/>
    <mergeCell ref="A18:G18"/>
    <mergeCell ref="A12:G12"/>
    <mergeCell ref="A16:G16"/>
    <mergeCell ref="A15:G15"/>
    <mergeCell ref="A45:G45"/>
  </mergeCells>
  <pageMargins left="0.75" right="0.75" top="1" bottom="1" header="0.5" footer="0.5"/>
  <legacyDrawing xmlns:r="http://schemas.openxmlformats.org/officeDocument/2006/relationships" r:id="anysvml"/>
</worksheet>
</file>

<file path=xl/worksheets/sheet59.xml><?xml version="1.0" encoding="utf-8"?>
<worksheet xmlns="http://schemas.openxmlformats.org/spreadsheetml/2006/main">
  <sheetPr>
    <tabColor rgb="00808080"/>
    <outlinePr summaryBelow="1" summaryRight="1"/>
    <pageSetUpPr/>
  </sheetPr>
  <dimension ref="A1:G54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6" customWidth="1" min="3" max="3"/>
    <col width="14" customWidth="1" min="4" max="4"/>
    <col width="14" customWidth="1" min="5" max="5"/>
    <col width="16" customWidth="1" min="6" max="6"/>
    <col width="20" customWidth="1" min="7" max="7"/>
  </cols>
  <sheetData>
    <row r="1">
      <c r="A1" s="1" t="inlineStr">
        <is>
          <t>Lender</t>
        </is>
      </c>
      <c r="B1" t="inlineStr">
        <is>
          <t>BMO</t>
        </is>
      </c>
    </row>
    <row r="2">
      <c r="A2" s="1" t="inlineStr">
        <is>
          <t>Loan ID</t>
        </is>
      </c>
      <c r="B2" t="inlineStr">
        <is>
          <t>05-2934-002-000-00</t>
        </is>
      </c>
    </row>
    <row r="3">
      <c r="A3" s="1" t="inlineStr">
        <is>
          <t>Loan Number</t>
        </is>
      </c>
      <c r="B3" t="inlineStr">
        <is>
          <t>9359467001</t>
        </is>
      </c>
    </row>
    <row r="4">
      <c r="A4" s="1" t="inlineStr">
        <is>
          <t>Description</t>
        </is>
      </c>
      <c r="B4" t="inlineStr">
        <is>
          <t>2 T680 Sleepers</t>
        </is>
      </c>
    </row>
    <row r="5">
      <c r="A5" s="1" t="inlineStr">
        <is>
          <t>Collateral</t>
        </is>
      </c>
      <c r="B5" t="inlineStr">
        <is>
          <t>Equipment - Semi Trucks</t>
        </is>
      </c>
    </row>
    <row r="6">
      <c r="A6" s="1" t="inlineStr">
        <is>
          <t>Opening Balance (12/31/2025)</t>
        </is>
      </c>
      <c r="B6" s="26" t="n">
        <v>134799</v>
      </c>
    </row>
    <row r="7">
      <c r="A7" s="1" t="inlineStr">
        <is>
          <t>Annual Interest Rate</t>
        </is>
      </c>
      <c r="B7" s="6" t="n">
        <v>0.0445</v>
      </c>
    </row>
    <row r="8">
      <c r="A8" s="1" t="inlineStr">
        <is>
          <t>Monthly Payment</t>
        </is>
      </c>
      <c r="B8" s="26" t="n">
        <v>5440</v>
      </c>
    </row>
    <row r="9">
      <c r="A9" s="1" t="inlineStr">
        <is>
          <t>Origination Date</t>
        </is>
      </c>
      <c r="B9" t="inlineStr">
        <is>
          <t>2022-07-29</t>
        </is>
      </c>
    </row>
    <row r="10">
      <c r="A10" s="1" t="inlineStr">
        <is>
          <t>Maturity Date</t>
        </is>
      </c>
      <c r="B10" t="inlineStr">
        <is>
          <t>2028-02-01</t>
        </is>
      </c>
    </row>
    <row r="12">
      <c r="A12" s="47" t="inlineStr">
        <is>
          <t>LOAN ANALYSIS</t>
        </is>
      </c>
    </row>
    <row r="13">
      <c r="A13" s="9" t="inlineStr">
        <is>
          <t>Loan Type: AMORTIZING - Standard equipment loan with fixed monthly payments</t>
        </is>
      </c>
    </row>
    <row r="14">
      <c r="A14" s="9" t="inlineStr">
        <is>
          <t>Collateral: Equipment - Semi Trucks</t>
        </is>
      </c>
    </row>
    <row r="15">
      <c r="A15" s="9" t="inlineStr">
        <is>
          <t>Original Amount: $317,570.00 originated 2022-07-29</t>
        </is>
      </c>
    </row>
    <row r="16">
      <c r="A16" s="9" t="inlineStr">
        <is>
          <t>Remaining Term: Payments until maturity 2028-02-01</t>
        </is>
      </c>
    </row>
    <row r="17">
      <c r="A17" s="9" t="inlineStr">
        <is>
          <t>Amortization: Monthly interest accrual on declining balance</t>
        </is>
      </c>
    </row>
    <row r="18">
      <c r="A18" s="9" t="inlineStr">
        <is>
          <t>Note: MAX(0,...) formulas prevent negative values at loan payoff</t>
        </is>
      </c>
    </row>
    <row r="22">
      <c r="A22" s="48" t="inlineStr">
        <is>
          <t>Month #</t>
        </is>
      </c>
      <c r="B22" s="48" t="inlineStr">
        <is>
          <t>Date</t>
        </is>
      </c>
      <c r="C22" s="48" t="inlineStr">
        <is>
          <t>Opening Balance</t>
        </is>
      </c>
      <c r="D22" s="48" t="inlineStr">
        <is>
          <t>Interest</t>
        </is>
      </c>
      <c r="E22" s="48" t="inlineStr">
        <is>
          <t>Principal</t>
        </is>
      </c>
      <c r="F22" s="48" t="inlineStr">
        <is>
          <t>Closing Balance</t>
        </is>
      </c>
      <c r="G22" s="48" t="inlineStr">
        <is>
          <t>Year</t>
        </is>
      </c>
    </row>
    <row r="23">
      <c r="A23" s="37" t="n">
        <v>1</v>
      </c>
      <c r="B23" s="37" t="inlineStr">
        <is>
          <t>01/01/2026</t>
        </is>
      </c>
      <c r="C23" s="45">
        <f>$B$6</f>
        <v/>
      </c>
      <c r="D23" s="45">
        <f>MAX(0,C23*$B$7/12)</f>
        <v/>
      </c>
      <c r="E23" s="45">
        <f>MAX(0,MIN(C23,$B$8-D23))</f>
        <v/>
      </c>
      <c r="F23" s="45">
        <f>MAX(0,C23-E23)</f>
        <v/>
      </c>
      <c r="G23" s="37" t="n">
        <v>2026</v>
      </c>
    </row>
    <row r="24">
      <c r="A24" s="37" t="n">
        <v>2</v>
      </c>
      <c r="B24" s="37" t="inlineStr">
        <is>
          <t>02/01/2026</t>
        </is>
      </c>
      <c r="C24" s="45">
        <f>F23</f>
        <v/>
      </c>
      <c r="D24" s="45">
        <f>MAX(0,C24*$B$7/12)</f>
        <v/>
      </c>
      <c r="E24" s="45">
        <f>MAX(0,MIN(C24,$B$8-D24))</f>
        <v/>
      </c>
      <c r="F24" s="45">
        <f>MAX(0,C24-E24)</f>
        <v/>
      </c>
      <c r="G24" s="37" t="n">
        <v>2026</v>
      </c>
    </row>
    <row r="25">
      <c r="A25" s="37" t="n">
        <v>3</v>
      </c>
      <c r="B25" s="37" t="inlineStr">
        <is>
          <t>03/01/2026</t>
        </is>
      </c>
      <c r="C25" s="45">
        <f>F24</f>
        <v/>
      </c>
      <c r="D25" s="45">
        <f>MAX(0,C25*$B$7/12)</f>
        <v/>
      </c>
      <c r="E25" s="45">
        <f>MAX(0,MIN(C25,$B$8-D25))</f>
        <v/>
      </c>
      <c r="F25" s="45">
        <f>MAX(0,C25-E25)</f>
        <v/>
      </c>
      <c r="G25" s="37" t="n">
        <v>2026</v>
      </c>
    </row>
    <row r="26">
      <c r="A26" s="37" t="n">
        <v>4</v>
      </c>
      <c r="B26" s="37" t="inlineStr">
        <is>
          <t>04/01/2026</t>
        </is>
      </c>
      <c r="C26" s="45">
        <f>F25</f>
        <v/>
      </c>
      <c r="D26" s="45">
        <f>MAX(0,C26*$B$7/12)</f>
        <v/>
      </c>
      <c r="E26" s="45">
        <f>MAX(0,MIN(C26,$B$8-D26))</f>
        <v/>
      </c>
      <c r="F26" s="45">
        <f>MAX(0,C26-E26)</f>
        <v/>
      </c>
      <c r="G26" s="37" t="n">
        <v>2026</v>
      </c>
    </row>
    <row r="27">
      <c r="A27" s="37" t="n">
        <v>5</v>
      </c>
      <c r="B27" s="37" t="inlineStr">
        <is>
          <t>05/01/2026</t>
        </is>
      </c>
      <c r="C27" s="45">
        <f>F26</f>
        <v/>
      </c>
      <c r="D27" s="45">
        <f>MAX(0,C27*$B$7/12)</f>
        <v/>
      </c>
      <c r="E27" s="45">
        <f>MAX(0,MIN(C27,$B$8-D27))</f>
        <v/>
      </c>
      <c r="F27" s="45">
        <f>MAX(0,C27-E27)</f>
        <v/>
      </c>
      <c r="G27" s="37" t="n">
        <v>2026</v>
      </c>
    </row>
    <row r="28">
      <c r="A28" s="37" t="n">
        <v>6</v>
      </c>
      <c r="B28" s="37" t="inlineStr">
        <is>
          <t>06/01/2026</t>
        </is>
      </c>
      <c r="C28" s="45">
        <f>F27</f>
        <v/>
      </c>
      <c r="D28" s="45">
        <f>MAX(0,C28*$B$7/12)</f>
        <v/>
      </c>
      <c r="E28" s="45">
        <f>MAX(0,MIN(C28,$B$8-D28))</f>
        <v/>
      </c>
      <c r="F28" s="45">
        <f>MAX(0,C28-E28)</f>
        <v/>
      </c>
      <c r="G28" s="37" t="n">
        <v>2026</v>
      </c>
    </row>
    <row r="29">
      <c r="A29" s="37" t="n">
        <v>7</v>
      </c>
      <c r="B29" s="37" t="inlineStr">
        <is>
          <t>07/01/2026</t>
        </is>
      </c>
      <c r="C29" s="45">
        <f>F28</f>
        <v/>
      </c>
      <c r="D29" s="45">
        <f>MAX(0,C29*$B$7/12)</f>
        <v/>
      </c>
      <c r="E29" s="45">
        <f>MAX(0,MIN(C29,$B$8-D29))</f>
        <v/>
      </c>
      <c r="F29" s="45">
        <f>MAX(0,C29-E29)</f>
        <v/>
      </c>
      <c r="G29" s="37" t="n">
        <v>2026</v>
      </c>
    </row>
    <row r="30">
      <c r="A30" s="37" t="n">
        <v>8</v>
      </c>
      <c r="B30" s="37" t="inlineStr">
        <is>
          <t>08/01/2026</t>
        </is>
      </c>
      <c r="C30" s="45">
        <f>F29</f>
        <v/>
      </c>
      <c r="D30" s="45">
        <f>MAX(0,C30*$B$7/12)</f>
        <v/>
      </c>
      <c r="E30" s="45">
        <f>MAX(0,MIN(C30,$B$8-D30))</f>
        <v/>
      </c>
      <c r="F30" s="45">
        <f>MAX(0,C30-E30)</f>
        <v/>
      </c>
      <c r="G30" s="37" t="n">
        <v>2026</v>
      </c>
    </row>
    <row r="31">
      <c r="A31" s="37" t="n">
        <v>9</v>
      </c>
      <c r="B31" s="37" t="inlineStr">
        <is>
          <t>09/01/2026</t>
        </is>
      </c>
      <c r="C31" s="45">
        <f>F30</f>
        <v/>
      </c>
      <c r="D31" s="45">
        <f>MAX(0,C31*$B$7/12)</f>
        <v/>
      </c>
      <c r="E31" s="45">
        <f>MAX(0,MIN(C31,$B$8-D31))</f>
        <v/>
      </c>
      <c r="F31" s="45">
        <f>MAX(0,C31-E31)</f>
        <v/>
      </c>
      <c r="G31" s="37" t="n">
        <v>2026</v>
      </c>
    </row>
    <row r="32">
      <c r="A32" s="37" t="n">
        <v>10</v>
      </c>
      <c r="B32" s="37" t="inlineStr">
        <is>
          <t>10/01/2026</t>
        </is>
      </c>
      <c r="C32" s="45">
        <f>F31</f>
        <v/>
      </c>
      <c r="D32" s="45">
        <f>MAX(0,C32*$B$7/12)</f>
        <v/>
      </c>
      <c r="E32" s="45">
        <f>MAX(0,MIN(C32,$B$8-D32))</f>
        <v/>
      </c>
      <c r="F32" s="45">
        <f>MAX(0,C32-E32)</f>
        <v/>
      </c>
      <c r="G32" s="37" t="n">
        <v>2026</v>
      </c>
    </row>
    <row r="33">
      <c r="A33" s="37" t="n">
        <v>11</v>
      </c>
      <c r="B33" s="37" t="inlineStr">
        <is>
          <t>11/01/2026</t>
        </is>
      </c>
      <c r="C33" s="45">
        <f>F32</f>
        <v/>
      </c>
      <c r="D33" s="45">
        <f>MAX(0,C33*$B$7/12)</f>
        <v/>
      </c>
      <c r="E33" s="45">
        <f>MAX(0,MIN(C33,$B$8-D33))</f>
        <v/>
      </c>
      <c r="F33" s="45">
        <f>MAX(0,C33-E33)</f>
        <v/>
      </c>
      <c r="G33" s="37" t="n">
        <v>2026</v>
      </c>
    </row>
    <row r="34">
      <c r="A34" s="37" t="n">
        <v>12</v>
      </c>
      <c r="B34" s="37" t="inlineStr">
        <is>
          <t>12/01/2026</t>
        </is>
      </c>
      <c r="C34" s="45">
        <f>F33</f>
        <v/>
      </c>
      <c r="D34" s="45">
        <f>MAX(0,C34*$B$7/12)</f>
        <v/>
      </c>
      <c r="E34" s="45">
        <f>MAX(0,MIN(C34,$B$8-D34))</f>
        <v/>
      </c>
      <c r="F34" s="45">
        <f>MAX(0,C34-E34)</f>
        <v/>
      </c>
      <c r="G34" s="37" t="n">
        <v>2026</v>
      </c>
    </row>
    <row r="35">
      <c r="A35" s="37" t="n">
        <v>13</v>
      </c>
      <c r="B35" s="37" t="inlineStr">
        <is>
          <t>01/01/2027</t>
        </is>
      </c>
      <c r="C35" s="45">
        <f>F34</f>
        <v/>
      </c>
      <c r="D35" s="45">
        <f>MAX(0,C35*$B$7/12)</f>
        <v/>
      </c>
      <c r="E35" s="45">
        <f>MAX(0,MIN(C35,$B$8-D35))</f>
        <v/>
      </c>
      <c r="F35" s="45">
        <f>MAX(0,C35-E35)</f>
        <v/>
      </c>
      <c r="G35" s="37" t="n">
        <v>2027</v>
      </c>
    </row>
    <row r="36">
      <c r="A36" s="37" t="n">
        <v>14</v>
      </c>
      <c r="B36" s="37" t="inlineStr">
        <is>
          <t>02/01/2027</t>
        </is>
      </c>
      <c r="C36" s="45">
        <f>F35</f>
        <v/>
      </c>
      <c r="D36" s="45">
        <f>MAX(0,C36*$B$7/12)</f>
        <v/>
      </c>
      <c r="E36" s="45">
        <f>MAX(0,MIN(C36,$B$8-D36))</f>
        <v/>
      </c>
      <c r="F36" s="45">
        <f>MAX(0,C36-E36)</f>
        <v/>
      </c>
      <c r="G36" s="37" t="n">
        <v>2027</v>
      </c>
    </row>
    <row r="37">
      <c r="A37" s="37" t="n">
        <v>15</v>
      </c>
      <c r="B37" s="37" t="inlineStr">
        <is>
          <t>03/01/2027</t>
        </is>
      </c>
      <c r="C37" s="45">
        <f>F36</f>
        <v/>
      </c>
      <c r="D37" s="45">
        <f>MAX(0,C37*$B$7/12)</f>
        <v/>
      </c>
      <c r="E37" s="45">
        <f>MAX(0,MIN(C37,$B$8-D37))</f>
        <v/>
      </c>
      <c r="F37" s="45">
        <f>MAX(0,C37-E37)</f>
        <v/>
      </c>
      <c r="G37" s="37" t="n">
        <v>2027</v>
      </c>
    </row>
    <row r="38">
      <c r="A38" s="37" t="n">
        <v>16</v>
      </c>
      <c r="B38" s="37" t="inlineStr">
        <is>
          <t>04/01/2027</t>
        </is>
      </c>
      <c r="C38" s="45">
        <f>F37</f>
        <v/>
      </c>
      <c r="D38" s="45">
        <f>MAX(0,C38*$B$7/12)</f>
        <v/>
      </c>
      <c r="E38" s="45">
        <f>MAX(0,MIN(C38,$B$8-D38))</f>
        <v/>
      </c>
      <c r="F38" s="45">
        <f>MAX(0,C38-E38)</f>
        <v/>
      </c>
      <c r="G38" s="37" t="n">
        <v>2027</v>
      </c>
    </row>
    <row r="39">
      <c r="A39" s="37" t="n">
        <v>17</v>
      </c>
      <c r="B39" s="37" t="inlineStr">
        <is>
          <t>05/01/2027</t>
        </is>
      </c>
      <c r="C39" s="45">
        <f>F38</f>
        <v/>
      </c>
      <c r="D39" s="45">
        <f>MAX(0,C39*$B$7/12)</f>
        <v/>
      </c>
      <c r="E39" s="45">
        <f>MAX(0,MIN(C39,$B$8-D39))</f>
        <v/>
      </c>
      <c r="F39" s="45">
        <f>MAX(0,C39-E39)</f>
        <v/>
      </c>
      <c r="G39" s="37" t="n">
        <v>2027</v>
      </c>
    </row>
    <row r="40">
      <c r="A40" s="37" t="n">
        <v>18</v>
      </c>
      <c r="B40" s="37" t="inlineStr">
        <is>
          <t>06/01/2027</t>
        </is>
      </c>
      <c r="C40" s="45">
        <f>F39</f>
        <v/>
      </c>
      <c r="D40" s="45">
        <f>MAX(0,C40*$B$7/12)</f>
        <v/>
      </c>
      <c r="E40" s="45">
        <f>MAX(0,MIN(C40,$B$8-D40))</f>
        <v/>
      </c>
      <c r="F40" s="45">
        <f>MAX(0,C40-E40)</f>
        <v/>
      </c>
      <c r="G40" s="37" t="n">
        <v>2027</v>
      </c>
    </row>
    <row r="41">
      <c r="A41" s="37" t="n">
        <v>19</v>
      </c>
      <c r="B41" s="37" t="inlineStr">
        <is>
          <t>07/01/2027</t>
        </is>
      </c>
      <c r="C41" s="45">
        <f>F40</f>
        <v/>
      </c>
      <c r="D41" s="45">
        <f>MAX(0,C41*$B$7/12)</f>
        <v/>
      </c>
      <c r="E41" s="45">
        <f>MAX(0,MIN(C41,$B$8-D41))</f>
        <v/>
      </c>
      <c r="F41" s="45">
        <f>MAX(0,C41-E41)</f>
        <v/>
      </c>
      <c r="G41" s="37" t="n">
        <v>2027</v>
      </c>
    </row>
    <row r="42">
      <c r="A42" s="37" t="n">
        <v>20</v>
      </c>
      <c r="B42" s="37" t="inlineStr">
        <is>
          <t>08/01/2027</t>
        </is>
      </c>
      <c r="C42" s="45">
        <f>F41</f>
        <v/>
      </c>
      <c r="D42" s="45">
        <f>MAX(0,C42*$B$7/12)</f>
        <v/>
      </c>
      <c r="E42" s="45">
        <f>MAX(0,MIN(C42,$B$8-D42))</f>
        <v/>
      </c>
      <c r="F42" s="45">
        <f>MAX(0,C42-E42)</f>
        <v/>
      </c>
      <c r="G42" s="37" t="n">
        <v>2027</v>
      </c>
    </row>
    <row r="43">
      <c r="A43" s="37" t="n">
        <v>21</v>
      </c>
      <c r="B43" s="37" t="inlineStr">
        <is>
          <t>09/01/2027</t>
        </is>
      </c>
      <c r="C43" s="45">
        <f>F42</f>
        <v/>
      </c>
      <c r="D43" s="45">
        <f>MAX(0,C43*$B$7/12)</f>
        <v/>
      </c>
      <c r="E43" s="45">
        <f>MAX(0,MIN(C43,$B$8-D43))</f>
        <v/>
      </c>
      <c r="F43" s="45">
        <f>MAX(0,C43-E43)</f>
        <v/>
      </c>
      <c r="G43" s="37" t="n">
        <v>2027</v>
      </c>
    </row>
    <row r="44">
      <c r="A44" s="37" t="n">
        <v>22</v>
      </c>
      <c r="B44" s="37" t="inlineStr">
        <is>
          <t>10/01/2027</t>
        </is>
      </c>
      <c r="C44" s="45">
        <f>F43</f>
        <v/>
      </c>
      <c r="D44" s="45">
        <f>MAX(0,C44*$B$7/12)</f>
        <v/>
      </c>
      <c r="E44" s="45">
        <f>MAX(0,MIN(C44,$B$8-D44))</f>
        <v/>
      </c>
      <c r="F44" s="45">
        <f>MAX(0,C44-E44)</f>
        <v/>
      </c>
      <c r="G44" s="37" t="n">
        <v>2027</v>
      </c>
    </row>
    <row r="45">
      <c r="A45" s="37" t="n">
        <v>23</v>
      </c>
      <c r="B45" s="37" t="inlineStr">
        <is>
          <t>11/01/2027</t>
        </is>
      </c>
      <c r="C45" s="45">
        <f>F44</f>
        <v/>
      </c>
      <c r="D45" s="45">
        <f>MAX(0,C45*$B$7/12)</f>
        <v/>
      </c>
      <c r="E45" s="45">
        <f>MAX(0,MIN(C45,$B$8-D45))</f>
        <v/>
      </c>
      <c r="F45" s="45">
        <f>MAX(0,C45-E45)</f>
        <v/>
      </c>
      <c r="G45" s="37" t="n">
        <v>2027</v>
      </c>
    </row>
    <row r="46">
      <c r="A46" s="37" t="n">
        <v>24</v>
      </c>
      <c r="B46" s="37" t="inlineStr">
        <is>
          <t>12/01/2027</t>
        </is>
      </c>
      <c r="C46" s="45">
        <f>F45</f>
        <v/>
      </c>
      <c r="D46" s="45">
        <f>MAX(0,C46*$B$7/12)</f>
        <v/>
      </c>
      <c r="E46" s="45">
        <f>MAX(0,MIN(C46,$B$8-D46))</f>
        <v/>
      </c>
      <c r="F46" s="45">
        <f>MAX(0,C46-E46)</f>
        <v/>
      </c>
      <c r="G46" s="37" t="n">
        <v>2027</v>
      </c>
    </row>
    <row r="47">
      <c r="A47" s="37" t="n">
        <v>25</v>
      </c>
      <c r="B47" s="37" t="inlineStr">
        <is>
          <t>01/01/2028</t>
        </is>
      </c>
      <c r="C47" s="45">
        <f>F46</f>
        <v/>
      </c>
      <c r="D47" s="45">
        <f>MAX(0,C47*$B$7/12)</f>
        <v/>
      </c>
      <c r="E47" s="45">
        <f>MAX(0,MIN(C47,$B$8-D47))</f>
        <v/>
      </c>
      <c r="F47" s="45">
        <f>MAX(0,C47-E47)</f>
        <v/>
      </c>
      <c r="G47" s="37" t="n">
        <v>2028</v>
      </c>
    </row>
    <row r="48">
      <c r="A48" s="37" t="n">
        <v>26</v>
      </c>
      <c r="B48" s="37" t="inlineStr">
        <is>
          <t>02/01/2028</t>
        </is>
      </c>
      <c r="C48" s="45">
        <f>F47</f>
        <v/>
      </c>
      <c r="D48" s="45">
        <f>MAX(0,C48*$B$7/12)</f>
        <v/>
      </c>
      <c r="E48" s="45">
        <f>MAX(0,MIN(C48,$B$8-D48))</f>
        <v/>
      </c>
      <c r="F48" s="45">
        <f>MAX(0,C48-E48)</f>
        <v/>
      </c>
      <c r="G48" s="37" t="n">
        <v>2028</v>
      </c>
    </row>
    <row r="50">
      <c r="A50" s="49" t="inlineStr">
        <is>
          <t>ANNUAL SUMMARY</t>
        </is>
      </c>
    </row>
    <row r="51">
      <c r="A51" s="50" t="inlineStr">
        <is>
          <t>Year</t>
        </is>
      </c>
      <c r="C51" s="50" t="inlineStr">
        <is>
          <t>Beg Balance</t>
        </is>
      </c>
      <c r="D51" s="50" t="inlineStr">
        <is>
          <t>Total Interest</t>
        </is>
      </c>
      <c r="E51" s="50" t="inlineStr">
        <is>
          <t>Total Principal</t>
        </is>
      </c>
      <c r="F51" s="50" t="inlineStr">
        <is>
          <t>End Balance</t>
        </is>
      </c>
    </row>
    <row r="52">
      <c r="A52" s="37" t="n">
        <v>2026</v>
      </c>
      <c r="C52" s="39">
        <f>C23</f>
        <v/>
      </c>
      <c r="D52" s="39">
        <f>SUM(D23:D34)</f>
        <v/>
      </c>
      <c r="E52" s="39">
        <f>SUM(E23:E34)</f>
        <v/>
      </c>
      <c r="F52" s="39">
        <f>F34</f>
        <v/>
      </c>
    </row>
    <row r="53">
      <c r="A53" s="37" t="n">
        <v>2027</v>
      </c>
      <c r="C53" s="39">
        <f>C35</f>
        <v/>
      </c>
      <c r="D53" s="39">
        <f>SUM(D35:D46)</f>
        <v/>
      </c>
      <c r="E53" s="39">
        <f>SUM(E35:E46)</f>
        <v/>
      </c>
      <c r="F53" s="39">
        <f>F46</f>
        <v/>
      </c>
    </row>
    <row r="54">
      <c r="A54" s="37" t="n">
        <v>2028</v>
      </c>
      <c r="C54" s="39">
        <f>C47</f>
        <v/>
      </c>
      <c r="D54" s="39">
        <f>SUM(D47:D48)</f>
        <v/>
      </c>
      <c r="E54" s="39">
        <f>SUM(E47:E48)</f>
        <v/>
      </c>
      <c r="F54" s="39">
        <f>F48</f>
        <v/>
      </c>
    </row>
  </sheetData>
  <mergeCells count="8">
    <mergeCell ref="A13:G13"/>
    <mergeCell ref="A14:G14"/>
    <mergeCell ref="A17:G17"/>
    <mergeCell ref="A18:G18"/>
    <mergeCell ref="A12:G12"/>
    <mergeCell ref="A50:G50"/>
    <mergeCell ref="A16:G16"/>
    <mergeCell ref="A15:G15"/>
  </mergeCells>
  <pageMargins left="0.75" right="0.75" top="1" bottom="1" header="0.5" footer="0.5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tabColor rgb="001A237E"/>
    <outlinePr summaryBelow="1" summaryRight="1"/>
    <pageSetUpPr/>
  </sheetPr>
  <dimension ref="A1:H17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5" customWidth="1" min="1" max="1"/>
    <col width="18" customWidth="1" min="2" max="2"/>
    <col width="16" customWidth="1" min="3" max="3"/>
    <col width="12" customWidth="1" min="4" max="4"/>
    <col width="16" customWidth="1" min="5" max="5"/>
    <col width="16" customWidth="1" min="6" max="6"/>
    <col width="16" customWidth="1" min="7" max="7"/>
    <col width="14" customWidth="1" min="8" max="8"/>
  </cols>
  <sheetData>
    <row r="1">
      <c r="A1" s="88" t="inlineStr">
        <is>
          <t>DEBT SCHEDULE</t>
        </is>
      </c>
    </row>
    <row r="2">
      <c r="A2" s="62" t="inlineStr">
        <is>
          <t>Meiborg Companies, Inc.</t>
        </is>
      </c>
    </row>
    <row r="3">
      <c r="A3" s="89" t="inlineStr">
        <is>
          <t>December 31, 2025</t>
        </is>
      </c>
    </row>
    <row r="5">
      <c r="A5" s="90" t="inlineStr">
        <is>
          <t>Lender / Loan Description</t>
        </is>
      </c>
      <c r="B5" s="90" t="inlineStr">
        <is>
          <t>Collateral Type</t>
        </is>
      </c>
      <c r="C5" s="90" t="inlineStr">
        <is>
          <t>Current Balance</t>
        </is>
      </c>
      <c r="D5" s="90" t="inlineStr">
        <is>
          <t>Interest Rate</t>
        </is>
      </c>
      <c r="E5" s="90" t="inlineStr">
        <is>
          <t>Monthly Payment</t>
        </is>
      </c>
      <c r="F5" s="90" t="inlineStr">
        <is>
          <t>Annual Interest</t>
        </is>
      </c>
      <c r="G5" s="90" t="inlineStr">
        <is>
          <t>Annual Principal</t>
        </is>
      </c>
      <c r="H5" s="90" t="inlineStr">
        <is>
          <t>Maturity Date</t>
        </is>
      </c>
    </row>
    <row r="6">
      <c r="A6" s="91" t="inlineStr">
        <is>
          <t>WINTRUST (1 loan)</t>
        </is>
      </c>
      <c r="B6" s="92" t="n"/>
      <c r="C6" s="92" t="n"/>
      <c r="D6" s="92" t="n"/>
      <c r="E6" s="92" t="n"/>
      <c r="F6" s="92" t="n"/>
      <c r="G6" s="92" t="n"/>
      <c r="H6" s="93" t="n"/>
    </row>
    <row r="7">
      <c r="A7" s="21" t="inlineStr">
        <is>
          <t xml:space="preserve">  Rockford SBA - 1122 Milford Road</t>
        </is>
      </c>
      <c r="B7" s="21" t="inlineStr">
        <is>
          <t>Real Estate</t>
        </is>
      </c>
      <c r="C7" s="71">
        <f>'_Wintrust_1'!B8</f>
        <v/>
      </c>
      <c r="D7" s="94">
        <f>'_Wintrust_1'!B9</f>
        <v/>
      </c>
      <c r="E7" s="71">
        <f>'_Wintrust_1'!B10</f>
        <v/>
      </c>
      <c r="F7" s="85">
        <f>C7*D7</f>
        <v/>
      </c>
      <c r="G7" s="85">
        <f>MIN(C7,MAX(0,E7*12-F7))</f>
        <v/>
      </c>
      <c r="H7" s="11" t="inlineStr">
        <is>
          <t>04/01/2046</t>
        </is>
      </c>
    </row>
    <row r="8">
      <c r="A8" s="14" t="inlineStr">
        <is>
          <t xml:space="preserve">  Subtotal - Wintrust</t>
        </is>
      </c>
      <c r="B8" s="15" t="n"/>
      <c r="C8" s="95">
        <f>SUM(C7)</f>
        <v/>
      </c>
      <c r="D8" s="15" t="n"/>
      <c r="E8" s="15" t="n"/>
      <c r="F8" s="95">
        <f>SUM(F7)</f>
        <v/>
      </c>
      <c r="G8" s="95">
        <f>SUM(G7)</f>
        <v/>
      </c>
      <c r="H8" s="15" t="n"/>
    </row>
    <row r="10">
      <c r="A10" s="91" t="inlineStr">
        <is>
          <t>BMO (10 loans)</t>
        </is>
      </c>
      <c r="B10" s="92" t="n"/>
      <c r="C10" s="92" t="n"/>
      <c r="D10" s="92" t="n"/>
      <c r="E10" s="92" t="n"/>
      <c r="F10" s="92" t="n"/>
      <c r="G10" s="92" t="n"/>
      <c r="H10" s="93" t="n"/>
    </row>
    <row r="11">
      <c r="A11" s="21" t="inlineStr">
        <is>
          <t xml:space="preserve">  25 Trailers (Mar 2019)</t>
        </is>
      </c>
      <c r="B11" s="21" t="inlineStr">
        <is>
          <t>Equipment</t>
        </is>
      </c>
      <c r="C11" s="71">
        <f>'_BMO_1'!B6</f>
        <v/>
      </c>
      <c r="D11" s="94">
        <f>'_BMO_1'!B7</f>
        <v/>
      </c>
      <c r="E11" s="71">
        <f>'_BMO_1'!B8</f>
        <v/>
      </c>
      <c r="F11" s="85">
        <f>C11*D11</f>
        <v/>
      </c>
      <c r="G11" s="85">
        <f>MIN(C11,MAX(0,E11*12-F11))</f>
        <v/>
      </c>
      <c r="H11" s="11" t="inlineStr">
        <is>
          <t>09/01/2026</t>
        </is>
      </c>
    </row>
    <row r="12">
      <c r="A12" s="21" t="inlineStr">
        <is>
          <t xml:space="preserve">  27 Trailers (Oct 2019)</t>
        </is>
      </c>
      <c r="B12" s="21" t="inlineStr">
        <is>
          <t>Equipment</t>
        </is>
      </c>
      <c r="C12" s="71">
        <f>'_BMO_2'!B6</f>
        <v/>
      </c>
      <c r="D12" s="94">
        <f>'_BMO_2'!B7</f>
        <v/>
      </c>
      <c r="E12" s="71">
        <f>'_BMO_2'!B8</f>
        <v/>
      </c>
      <c r="F12" s="85">
        <f>C12*D12</f>
        <v/>
      </c>
      <c r="G12" s="85">
        <f>MIN(C12,MAX(0,E12*12-F12))</f>
        <v/>
      </c>
      <c r="H12" s="11" t="inlineStr">
        <is>
          <t>01/01/2027</t>
        </is>
      </c>
    </row>
    <row r="13">
      <c r="A13" s="21" t="inlineStr">
        <is>
          <t xml:space="preserve">  25 Trailers (Sep 2020)</t>
        </is>
      </c>
      <c r="B13" s="21" t="inlineStr">
        <is>
          <t>Equipment</t>
        </is>
      </c>
      <c r="C13" s="71">
        <f>'_BMO_3'!B6</f>
        <v/>
      </c>
      <c r="D13" s="94">
        <f>'_BMO_3'!B7</f>
        <v/>
      </c>
      <c r="E13" s="71">
        <f>'_BMO_3'!B8</f>
        <v/>
      </c>
      <c r="F13" s="85">
        <f>C13*D13</f>
        <v/>
      </c>
      <c r="G13" s="85">
        <f>MIN(C13,MAX(0,E13*12-F13))</f>
        <v/>
      </c>
      <c r="H13" s="11" t="inlineStr">
        <is>
          <t>09/03/2027</t>
        </is>
      </c>
    </row>
    <row r="14">
      <c r="A14" s="21" t="inlineStr">
        <is>
          <t xml:space="preserve">  2 T680 Sleepers (Jul 2022)</t>
        </is>
      </c>
      <c r="B14" s="21" t="inlineStr">
        <is>
          <t>Equipment</t>
        </is>
      </c>
      <c r="C14" s="71">
        <f>'_BMO_4'!B6</f>
        <v/>
      </c>
      <c r="D14" s="94">
        <f>'_BMO_4'!B7</f>
        <v/>
      </c>
      <c r="E14" s="71">
        <f>'_BMO_4'!B8</f>
        <v/>
      </c>
      <c r="F14" s="85">
        <f>C14*D14</f>
        <v/>
      </c>
      <c r="G14" s="85">
        <f>MIN(C14,MAX(0,E14*12-F14))</f>
        <v/>
      </c>
      <c r="H14" s="11" t="inlineStr">
        <is>
          <t>02/01/2028</t>
        </is>
      </c>
    </row>
    <row r="15">
      <c r="A15" s="21" t="inlineStr">
        <is>
          <t xml:space="preserve">  5 T680 Sleepers (Aug 2022)</t>
        </is>
      </c>
      <c r="B15" s="21" t="inlineStr">
        <is>
          <t>Equipment</t>
        </is>
      </c>
      <c r="C15" s="71">
        <f>'_BMO_5'!B6</f>
        <v/>
      </c>
      <c r="D15" s="94">
        <f>'_BMO_5'!B7</f>
        <v/>
      </c>
      <c r="E15" s="71">
        <f>'_BMO_5'!B8</f>
        <v/>
      </c>
      <c r="F15" s="85">
        <f>C15*D15</f>
        <v/>
      </c>
      <c r="G15" s="85">
        <f>MIN(C15,MAX(0,E15*12-F15))</f>
        <v/>
      </c>
      <c r="H15" s="11" t="inlineStr">
        <is>
          <t>02/10/2028</t>
        </is>
      </c>
    </row>
    <row r="16">
      <c r="A16" s="21" t="inlineStr">
        <is>
          <t xml:space="preserve">  5 T680 Daycabs (May 2023)</t>
        </is>
      </c>
      <c r="B16" s="21" t="inlineStr">
        <is>
          <t>Equipment</t>
        </is>
      </c>
      <c r="C16" s="71">
        <f>'_BMO_6'!B6</f>
        <v/>
      </c>
      <c r="D16" s="94">
        <f>'_BMO_6'!B7</f>
        <v/>
      </c>
      <c r="E16" s="71">
        <f>'_BMO_6'!B8</f>
        <v/>
      </c>
      <c r="F16" s="85">
        <f>C16*D16</f>
        <v/>
      </c>
      <c r="G16" s="85">
        <f>MIN(C16,MAX(0,E16*12-F16))</f>
        <v/>
      </c>
      <c r="H16" s="11" t="inlineStr">
        <is>
          <t>12/01/2028</t>
        </is>
      </c>
    </row>
    <row r="17">
      <c r="A17" s="21" t="inlineStr">
        <is>
          <t xml:space="preserve">  1 Peterbilt 579 (May 2023)</t>
        </is>
      </c>
      <c r="B17" s="21" t="inlineStr">
        <is>
          <t>Equipment</t>
        </is>
      </c>
      <c r="C17" s="71">
        <f>'_BMO_7'!B6</f>
        <v/>
      </c>
      <c r="D17" s="94">
        <f>'_BMO_7'!B7</f>
        <v/>
      </c>
      <c r="E17" s="71">
        <f>'_BMO_7'!B8</f>
        <v/>
      </c>
      <c r="F17" s="85">
        <f>C17*D17</f>
        <v/>
      </c>
      <c r="G17" s="85">
        <f>MIN(C17,MAX(0,E17*12-F17))</f>
        <v/>
      </c>
      <c r="H17" s="11" t="inlineStr">
        <is>
          <t>12/01/2028</t>
        </is>
      </c>
    </row>
    <row r="18">
      <c r="A18" s="21" t="inlineStr">
        <is>
          <t xml:space="preserve">  3 Peterbilt 579s (Jun 2023)</t>
        </is>
      </c>
      <c r="B18" s="21" t="inlineStr">
        <is>
          <t>Equipment</t>
        </is>
      </c>
      <c r="C18" s="71">
        <f>'_BMO_8'!B6</f>
        <v/>
      </c>
      <c r="D18" s="94">
        <f>'_BMO_8'!B7</f>
        <v/>
      </c>
      <c r="E18" s="71">
        <f>'_BMO_8'!B8</f>
        <v/>
      </c>
      <c r="F18" s="85">
        <f>C18*D18</f>
        <v/>
      </c>
      <c r="G18" s="85">
        <f>MIN(C18,MAX(0,E18*12-F18))</f>
        <v/>
      </c>
      <c r="H18" s="11" t="inlineStr">
        <is>
          <t>01/01/2029</t>
        </is>
      </c>
    </row>
    <row r="19">
      <c r="A19" s="21" t="inlineStr">
        <is>
          <t xml:space="preserve">  1 Peterbilt 579 (Jul 2023)</t>
        </is>
      </c>
      <c r="B19" s="21" t="inlineStr">
        <is>
          <t>Equipment</t>
        </is>
      </c>
      <c r="C19" s="71">
        <f>'_BMO_9'!B6</f>
        <v/>
      </c>
      <c r="D19" s="94">
        <f>'_BMO_9'!B7</f>
        <v/>
      </c>
      <c r="E19" s="71">
        <f>'_BMO_9'!B8</f>
        <v/>
      </c>
      <c r="F19" s="85">
        <f>C19*D19</f>
        <v/>
      </c>
      <c r="G19" s="85">
        <f>MIN(C19,MAX(0,E19*12-F19))</f>
        <v/>
      </c>
      <c r="H19" s="11" t="inlineStr">
        <is>
          <t>01/10/2029</t>
        </is>
      </c>
    </row>
    <row r="20">
      <c r="A20" s="21" t="inlineStr">
        <is>
          <t xml:space="preserve">  6 T680 Sleepers (Jul 2023)</t>
        </is>
      </c>
      <c r="B20" s="21" t="inlineStr">
        <is>
          <t>Equipment</t>
        </is>
      </c>
      <c r="C20" s="71">
        <f>'_BMO_10'!B6</f>
        <v/>
      </c>
      <c r="D20" s="94">
        <f>'_BMO_10'!B7</f>
        <v/>
      </c>
      <c r="E20" s="71">
        <f>'_BMO_10'!B8</f>
        <v/>
      </c>
      <c r="F20" s="85">
        <f>C20*D20</f>
        <v/>
      </c>
      <c r="G20" s="85">
        <f>MIN(C20,MAX(0,E20*12-F20))</f>
        <v/>
      </c>
      <c r="H20" s="11" t="inlineStr">
        <is>
          <t>02/01/2029</t>
        </is>
      </c>
    </row>
    <row r="21">
      <c r="A21" s="14" t="inlineStr">
        <is>
          <t xml:space="preserve">  Subtotal - BMO</t>
        </is>
      </c>
      <c r="B21" s="15" t="n"/>
      <c r="C21" s="95">
        <f>SUM(C11,C12,C13,C14,C15,C16,C17,C18,C19,C20)</f>
        <v/>
      </c>
      <c r="D21" s="15" t="n"/>
      <c r="E21" s="15" t="n"/>
      <c r="F21" s="95">
        <f>SUM(F11,F12,F13,F14,F15,F16,F17,F18,F19,F20)</f>
        <v/>
      </c>
      <c r="G21" s="95">
        <f>SUM(G11,G12,G13,G14,G15,G16,G17,G18,G19,G20)</f>
        <v/>
      </c>
      <c r="H21" s="15" t="n"/>
    </row>
    <row r="23">
      <c r="A23" s="91" t="inlineStr">
        <is>
          <t>WEBSTER (6 loans)</t>
        </is>
      </c>
      <c r="B23" s="92" t="n"/>
      <c r="C23" s="92" t="n"/>
      <c r="D23" s="92" t="n"/>
      <c r="E23" s="92" t="n"/>
      <c r="F23" s="92" t="n"/>
      <c r="G23" s="92" t="n"/>
      <c r="H23" s="93" t="n"/>
    </row>
    <row r="24">
      <c r="A24" s="21" t="inlineStr">
        <is>
          <t xml:space="preserve">  3 Freightliner Daycabs</t>
        </is>
      </c>
      <c r="B24" s="21" t="inlineStr">
        <is>
          <t>Equipment</t>
        </is>
      </c>
      <c r="C24" s="71">
        <f>'_Webster_1'!B6</f>
        <v/>
      </c>
      <c r="D24" s="94">
        <f>'_Webster_1'!B7</f>
        <v/>
      </c>
      <c r="E24" s="71">
        <f>'_Webster_1'!B8</f>
        <v/>
      </c>
      <c r="F24" s="85">
        <f>C24*D24</f>
        <v/>
      </c>
      <c r="G24" s="85">
        <f>MIN(C24,MAX(0,E24*12-F24))</f>
        <v/>
      </c>
      <c r="H24" s="11" t="inlineStr">
        <is>
          <t>06/21/2027</t>
        </is>
      </c>
    </row>
    <row r="25">
      <c r="A25" s="21" t="inlineStr">
        <is>
          <t xml:space="preserve">  25 Trailers (Jun 2019)</t>
        </is>
      </c>
      <c r="B25" s="21" t="inlineStr">
        <is>
          <t>Equipment</t>
        </is>
      </c>
      <c r="C25" s="71">
        <f>'_Webster_2'!B6</f>
        <v/>
      </c>
      <c r="D25" s="94">
        <f>'_Webster_2'!B7</f>
        <v/>
      </c>
      <c r="E25" s="71">
        <f>'_Webster_2'!B8</f>
        <v/>
      </c>
      <c r="F25" s="85">
        <f>C25*D25</f>
        <v/>
      </c>
      <c r="G25" s="85">
        <f>MIN(C25,MAX(0,E25*12-F25))</f>
        <v/>
      </c>
      <c r="H25" s="11" t="inlineStr">
        <is>
          <t>01/02/2027</t>
        </is>
      </c>
    </row>
    <row r="26">
      <c r="A26" s="21" t="inlineStr">
        <is>
          <t xml:space="preserve">  25 Trailers (Nov 2021)</t>
        </is>
      </c>
      <c r="B26" s="21" t="inlineStr">
        <is>
          <t>Equipment</t>
        </is>
      </c>
      <c r="C26" s="71">
        <f>'_Webster_3'!B6</f>
        <v/>
      </c>
      <c r="D26" s="94">
        <f>'_Webster_3'!B7</f>
        <v/>
      </c>
      <c r="E26" s="71">
        <f>'_Webster_3'!B8</f>
        <v/>
      </c>
      <c r="F26" s="85">
        <f>C26*D26</f>
        <v/>
      </c>
      <c r="G26" s="85">
        <f>MIN(C26,MAX(0,E26*12-F26))</f>
        <v/>
      </c>
      <c r="H26" s="11" t="inlineStr">
        <is>
          <t>02/08/2029</t>
        </is>
      </c>
    </row>
    <row r="27">
      <c r="A27" s="21" t="inlineStr">
        <is>
          <t xml:space="preserve">  30 Trailers (Jun 2022)</t>
        </is>
      </c>
      <c r="B27" s="21" t="inlineStr">
        <is>
          <t>Equipment</t>
        </is>
      </c>
      <c r="C27" s="71">
        <f>'_Webster_4'!B6</f>
        <v/>
      </c>
      <c r="D27" s="94">
        <f>'_Webster_4'!B7</f>
        <v/>
      </c>
      <c r="E27" s="71">
        <f>'_Webster_4'!B8</f>
        <v/>
      </c>
      <c r="F27" s="85">
        <f>C27*D27</f>
        <v/>
      </c>
      <c r="G27" s="85">
        <f>MIN(C27,MAX(0,E27*12-F27))</f>
        <v/>
      </c>
      <c r="H27" s="11" t="inlineStr">
        <is>
          <t>09/15/2029</t>
        </is>
      </c>
    </row>
    <row r="28">
      <c r="A28" s="21" t="inlineStr">
        <is>
          <t xml:space="preserve">  7 T680 (Mar 2023)</t>
        </is>
      </c>
      <c r="B28" s="21" t="inlineStr">
        <is>
          <t>Equipment</t>
        </is>
      </c>
      <c r="C28" s="71">
        <f>'_Webster_5'!B6</f>
        <v/>
      </c>
      <c r="D28" s="94">
        <f>'_Webster_5'!B7</f>
        <v/>
      </c>
      <c r="E28" s="71">
        <f>'_Webster_5'!B8</f>
        <v/>
      </c>
      <c r="F28" s="85">
        <f>C28*D28</f>
        <v/>
      </c>
      <c r="G28" s="85">
        <f>MIN(C28,MAX(0,E28*12-F28))</f>
        <v/>
      </c>
      <c r="H28" s="11" t="inlineStr">
        <is>
          <t>12/29/2028</t>
        </is>
      </c>
    </row>
    <row r="29">
      <c r="A29" s="21" t="inlineStr">
        <is>
          <t xml:space="preserve">  25 Trailers (Apr 2023)</t>
        </is>
      </c>
      <c r="B29" s="21" t="inlineStr">
        <is>
          <t>Equipment</t>
        </is>
      </c>
      <c r="C29" s="71">
        <f>'_Webster_6'!B6</f>
        <v/>
      </c>
      <c r="D29" s="94">
        <f>'_Webster_6'!B7</f>
        <v/>
      </c>
      <c r="E29" s="71">
        <f>'_Webster_6'!B8</f>
        <v/>
      </c>
      <c r="F29" s="85">
        <f>C29*D29</f>
        <v/>
      </c>
      <c r="G29" s="85">
        <f>MIN(C29,MAX(0,E29*12-F29))</f>
        <v/>
      </c>
      <c r="H29" s="11" t="inlineStr">
        <is>
          <t>07/21/2030</t>
        </is>
      </c>
    </row>
    <row r="30">
      <c r="A30" s="14" t="inlineStr">
        <is>
          <t xml:space="preserve">  Subtotal - Webster</t>
        </is>
      </c>
      <c r="B30" s="15" t="n"/>
      <c r="C30" s="95">
        <f>SUM(C24,C25,C26,C27,C28,C29)</f>
        <v/>
      </c>
      <c r="D30" s="15" t="n"/>
      <c r="E30" s="15" t="n"/>
      <c r="F30" s="95">
        <f>SUM(F24,F25,F26,F27,F28,F29)</f>
        <v/>
      </c>
      <c r="G30" s="95">
        <f>SUM(G24,G25,G26,G27,G28,G29)</f>
        <v/>
      </c>
      <c r="H30" s="15" t="n"/>
    </row>
    <row r="32">
      <c r="A32" s="91" t="inlineStr">
        <is>
          <t>PACCAR (22 loans)</t>
        </is>
      </c>
      <c r="B32" s="92" t="n"/>
      <c r="C32" s="92" t="n"/>
      <c r="D32" s="92" t="n"/>
      <c r="E32" s="92" t="n"/>
      <c r="F32" s="92" t="n"/>
      <c r="G32" s="92" t="n"/>
      <c r="H32" s="93" t="n"/>
    </row>
    <row r="33">
      <c r="A33" s="21" t="inlineStr">
        <is>
          <t xml:space="preserve">  15 Kenworth T-680 (Dec 2020)</t>
        </is>
      </c>
      <c r="B33" s="21" t="inlineStr">
        <is>
          <t>Equipment</t>
        </is>
      </c>
      <c r="C33" s="71">
        <f>'_Paccar_1'!B6</f>
        <v/>
      </c>
      <c r="D33" s="94">
        <f>'_Paccar_1'!B7</f>
        <v/>
      </c>
      <c r="E33" s="71">
        <f>'_Paccar_1'!B8</f>
        <v/>
      </c>
      <c r="F33" s="85">
        <f>C33*D33</f>
        <v/>
      </c>
      <c r="G33" s="85">
        <f>MIN(C33,MAX(0,E33*12-F33))</f>
        <v/>
      </c>
      <c r="H33" s="11" t="inlineStr">
        <is>
          <t>10/05/2026</t>
        </is>
      </c>
    </row>
    <row r="34">
      <c r="A34" s="21" t="inlineStr">
        <is>
          <t xml:space="preserve">  Kenworth T880 Wrecker (Jan 2020)</t>
        </is>
      </c>
      <c r="B34" s="21" t="inlineStr">
        <is>
          <t>Equipment</t>
        </is>
      </c>
      <c r="C34" s="71">
        <f>'_Paccar_2'!B6</f>
        <v/>
      </c>
      <c r="D34" s="94">
        <f>'_Paccar_2'!B7</f>
        <v/>
      </c>
      <c r="E34" s="71">
        <f>'_Paccar_2'!B8</f>
        <v/>
      </c>
      <c r="F34" s="85">
        <f>C34*D34</f>
        <v/>
      </c>
      <c r="G34" s="85">
        <f>MIN(C34,MAX(0,E34*12-F34))</f>
        <v/>
      </c>
      <c r="H34" s="11" t="inlineStr">
        <is>
          <t>10/28/2026</t>
        </is>
      </c>
    </row>
    <row r="35">
      <c r="A35" s="21" t="inlineStr">
        <is>
          <t xml:space="preserve">  4 T880 Day Cabs (Jul 2021)</t>
        </is>
      </c>
      <c r="B35" s="21" t="inlineStr">
        <is>
          <t>Equipment</t>
        </is>
      </c>
      <c r="C35" s="71">
        <f>'_Paccar_3'!B6</f>
        <v/>
      </c>
      <c r="D35" s="94">
        <f>'_Paccar_3'!B7</f>
        <v/>
      </c>
      <c r="E35" s="71">
        <f>'_Paccar_3'!B8</f>
        <v/>
      </c>
      <c r="F35" s="85">
        <f>C35*D35</f>
        <v/>
      </c>
      <c r="G35" s="85">
        <f>MIN(C35,MAX(0,E35*12-F35))</f>
        <v/>
      </c>
      <c r="H35" s="11" t="inlineStr">
        <is>
          <t>02/05/2027</t>
        </is>
      </c>
    </row>
    <row r="36">
      <c r="A36" s="21" t="inlineStr">
        <is>
          <t xml:space="preserve">  1 T880 &amp; 1 T680 (Aug 2021)</t>
        </is>
      </c>
      <c r="B36" s="21" t="inlineStr">
        <is>
          <t>Equipment</t>
        </is>
      </c>
      <c r="C36" s="71">
        <f>'_Paccar_4'!B6</f>
        <v/>
      </c>
      <c r="D36" s="94">
        <f>'_Paccar_4'!B7</f>
        <v/>
      </c>
      <c r="E36" s="71">
        <f>'_Paccar_4'!B8</f>
        <v/>
      </c>
      <c r="F36" s="85">
        <f>C36*D36</f>
        <v/>
      </c>
      <c r="G36" s="85">
        <f>MIN(C36,MAX(0,E36*12-F36))</f>
        <v/>
      </c>
      <c r="H36" s="11" t="inlineStr">
        <is>
          <t>06/01/2027</t>
        </is>
      </c>
    </row>
    <row r="37">
      <c r="A37" s="21" t="inlineStr">
        <is>
          <t xml:space="preserve">  1 T680 (Sep 2021)</t>
        </is>
      </c>
      <c r="B37" s="21" t="inlineStr">
        <is>
          <t>Equipment</t>
        </is>
      </c>
      <c r="C37" s="71">
        <f>'_Paccar_5'!B6</f>
        <v/>
      </c>
      <c r="D37" s="94">
        <f>'_Paccar_5'!B7</f>
        <v/>
      </c>
      <c r="E37" s="71">
        <f>'_Paccar_5'!B8</f>
        <v/>
      </c>
      <c r="F37" s="85">
        <f>C37*D37</f>
        <v/>
      </c>
      <c r="G37" s="85">
        <f>MIN(C37,MAX(0,E37*12-F37))</f>
        <v/>
      </c>
      <c r="H37" s="11" t="inlineStr">
        <is>
          <t>07/12/2027</t>
        </is>
      </c>
    </row>
    <row r="38">
      <c r="A38" s="21" t="inlineStr">
        <is>
          <t xml:space="preserve">  3 T680 (Oct 2021)</t>
        </is>
      </c>
      <c r="B38" s="21" t="inlineStr">
        <is>
          <t>Equipment</t>
        </is>
      </c>
      <c r="C38" s="71">
        <f>'_Paccar_6'!B6</f>
        <v/>
      </c>
      <c r="D38" s="94">
        <f>'_Paccar_6'!B7</f>
        <v/>
      </c>
      <c r="E38" s="71">
        <f>'_Paccar_6'!B8</f>
        <v/>
      </c>
      <c r="F38" s="85">
        <f>C38*D38</f>
        <v/>
      </c>
      <c r="G38" s="85">
        <f>MIN(C38,MAX(0,E38*12-F38))</f>
        <v/>
      </c>
      <c r="H38" s="11" t="inlineStr">
        <is>
          <t>07/21/2027</t>
        </is>
      </c>
    </row>
    <row r="39">
      <c r="A39" s="21" t="inlineStr">
        <is>
          <t xml:space="preserve">  1 T680 (Oct 2021 #2)</t>
        </is>
      </c>
      <c r="B39" s="21" t="inlineStr">
        <is>
          <t>Equipment</t>
        </is>
      </c>
      <c r="C39" s="71">
        <f>'_Paccar_7'!B6</f>
        <v/>
      </c>
      <c r="D39" s="94">
        <f>'_Paccar_7'!B7</f>
        <v/>
      </c>
      <c r="E39" s="71">
        <f>'_Paccar_7'!B8</f>
        <v/>
      </c>
      <c r="F39" s="85">
        <f>C39*D39</f>
        <v/>
      </c>
      <c r="G39" s="85">
        <f>MIN(C39,MAX(0,E39*12-F39))</f>
        <v/>
      </c>
      <c r="H39" s="11" t="inlineStr">
        <is>
          <t>08/03/2027</t>
        </is>
      </c>
    </row>
    <row r="40">
      <c r="A40" s="21" t="inlineStr">
        <is>
          <t xml:space="preserve">  1 T680 (Nov 2021)</t>
        </is>
      </c>
      <c r="B40" s="21" t="inlineStr">
        <is>
          <t>Equipment</t>
        </is>
      </c>
      <c r="C40" s="71">
        <f>'_Paccar_8'!B6</f>
        <v/>
      </c>
      <c r="D40" s="94">
        <f>'_Paccar_8'!B7</f>
        <v/>
      </c>
      <c r="E40" s="71">
        <f>'_Paccar_8'!B8</f>
        <v/>
      </c>
      <c r="F40" s="85">
        <f>C40*D40</f>
        <v/>
      </c>
      <c r="G40" s="85">
        <f>MIN(C40,MAX(0,E40*12-F40))</f>
        <v/>
      </c>
      <c r="H40" s="11" t="inlineStr">
        <is>
          <t>09/03/2027</t>
        </is>
      </c>
    </row>
    <row r="41">
      <c r="A41" s="21" t="inlineStr">
        <is>
          <t xml:space="preserve">  2 T680 (Dec 2021)</t>
        </is>
      </c>
      <c r="B41" s="21" t="inlineStr">
        <is>
          <t>Equipment</t>
        </is>
      </c>
      <c r="C41" s="71">
        <f>'_Paccar_9'!B6</f>
        <v/>
      </c>
      <c r="D41" s="94">
        <f>'_Paccar_9'!B7</f>
        <v/>
      </c>
      <c r="E41" s="71">
        <f>'_Paccar_9'!B8</f>
        <v/>
      </c>
      <c r="F41" s="85">
        <f>C41*D41</f>
        <v/>
      </c>
      <c r="G41" s="85">
        <f>MIN(C41,MAX(0,E41*12-F41))</f>
        <v/>
      </c>
      <c r="H41" s="11" t="inlineStr">
        <is>
          <t>09/21/2027</t>
        </is>
      </c>
    </row>
    <row r="42">
      <c r="A42" s="21" t="inlineStr">
        <is>
          <t xml:space="preserve">  1 T680 (Dec 2021 #2)</t>
        </is>
      </c>
      <c r="B42" s="21" t="inlineStr">
        <is>
          <t>Equipment</t>
        </is>
      </c>
      <c r="C42" s="71">
        <f>'_Paccar_10'!B6</f>
        <v/>
      </c>
      <c r="D42" s="94">
        <f>'_Paccar_10'!B7</f>
        <v/>
      </c>
      <c r="E42" s="71">
        <f>'_Paccar_10'!B8</f>
        <v/>
      </c>
      <c r="F42" s="85">
        <f>C42*D42</f>
        <v/>
      </c>
      <c r="G42" s="85">
        <f>MIN(C42,MAX(0,E42*12-F42))</f>
        <v/>
      </c>
      <c r="H42" s="11" t="inlineStr">
        <is>
          <t>10/10/2027</t>
        </is>
      </c>
    </row>
    <row r="43">
      <c r="A43" s="21" t="inlineStr">
        <is>
          <t xml:space="preserve">  5 T680 (Sep 2022)</t>
        </is>
      </c>
      <c r="B43" s="21" t="inlineStr">
        <is>
          <t>Equipment</t>
        </is>
      </c>
      <c r="C43" s="71">
        <f>'_Paccar_11'!B6</f>
        <v/>
      </c>
      <c r="D43" s="94">
        <f>'_Paccar_11'!B7</f>
        <v/>
      </c>
      <c r="E43" s="71">
        <f>'_Paccar_11'!B8</f>
        <v/>
      </c>
      <c r="F43" s="85">
        <f>C43*D43</f>
        <v/>
      </c>
      <c r="G43" s="85">
        <f>MIN(C43,MAX(0,E43*12-F43))</f>
        <v/>
      </c>
      <c r="H43" s="11" t="inlineStr">
        <is>
          <t>07/07/2028</t>
        </is>
      </c>
    </row>
    <row r="44">
      <c r="A44" s="21" t="inlineStr">
        <is>
          <t xml:space="preserve">  3 T680 (Oct 2022)</t>
        </is>
      </c>
      <c r="B44" s="21" t="inlineStr">
        <is>
          <t>Equipment</t>
        </is>
      </c>
      <c r="C44" s="71">
        <f>'_Paccar_12'!B6</f>
        <v/>
      </c>
      <c r="D44" s="94">
        <f>'_Paccar_12'!B7</f>
        <v/>
      </c>
      <c r="E44" s="71">
        <f>'_Paccar_12'!B8</f>
        <v/>
      </c>
      <c r="F44" s="85">
        <f>C44*D44</f>
        <v/>
      </c>
      <c r="G44" s="85">
        <f>MIN(C44,MAX(0,E44*12-F44))</f>
        <v/>
      </c>
      <c r="H44" s="11" t="inlineStr">
        <is>
          <t>08/01/2028</t>
        </is>
      </c>
    </row>
    <row r="45">
      <c r="A45" s="21" t="inlineStr">
        <is>
          <t xml:space="preserve">  2 T680 (Oct 2022 #2)</t>
        </is>
      </c>
      <c r="B45" s="21" t="inlineStr">
        <is>
          <t>Equipment</t>
        </is>
      </c>
      <c r="C45" s="71">
        <f>'_Paccar_13'!B6</f>
        <v/>
      </c>
      <c r="D45" s="94">
        <f>'_Paccar_13'!B7</f>
        <v/>
      </c>
      <c r="E45" s="71">
        <f>'_Paccar_13'!B8</f>
        <v/>
      </c>
      <c r="F45" s="85">
        <f>C45*D45</f>
        <v/>
      </c>
      <c r="G45" s="85">
        <f>MIN(C45,MAX(0,E45*12-F45))</f>
        <v/>
      </c>
      <c r="H45" s="11" t="inlineStr">
        <is>
          <t>08/10/2028</t>
        </is>
      </c>
    </row>
    <row r="46">
      <c r="A46" s="21" t="inlineStr">
        <is>
          <t xml:space="preserve">  2 T680 (Nov 2022)</t>
        </is>
      </c>
      <c r="B46" s="21" t="inlineStr">
        <is>
          <t>Equipment</t>
        </is>
      </c>
      <c r="C46" s="71">
        <f>'_Paccar_14'!B6</f>
        <v/>
      </c>
      <c r="D46" s="94">
        <f>'_Paccar_14'!B7</f>
        <v/>
      </c>
      <c r="E46" s="71">
        <f>'_Paccar_14'!B8</f>
        <v/>
      </c>
      <c r="F46" s="85">
        <f>C46*D46</f>
        <v/>
      </c>
      <c r="G46" s="85">
        <f>MIN(C46,MAX(0,E46*12-F46))</f>
        <v/>
      </c>
      <c r="H46" s="11" t="inlineStr">
        <is>
          <t>09/06/2028</t>
        </is>
      </c>
    </row>
    <row r="47">
      <c r="A47" s="21" t="inlineStr">
        <is>
          <t xml:space="preserve">  3 T680 (Dec 2022)</t>
        </is>
      </c>
      <c r="B47" s="21" t="inlineStr">
        <is>
          <t>Equipment</t>
        </is>
      </c>
      <c r="C47" s="71">
        <f>'_Paccar_15'!B6</f>
        <v/>
      </c>
      <c r="D47" s="94">
        <f>'_Paccar_15'!B7</f>
        <v/>
      </c>
      <c r="E47" s="71">
        <f>'_Paccar_15'!B8</f>
        <v/>
      </c>
      <c r="F47" s="85">
        <f>C47*D47</f>
        <v/>
      </c>
      <c r="G47" s="85">
        <f>MIN(C47,MAX(0,E47*12-F47))</f>
        <v/>
      </c>
      <c r="H47" s="11" t="inlineStr">
        <is>
          <t>09/21/2028</t>
        </is>
      </c>
    </row>
    <row r="48">
      <c r="A48" s="21" t="inlineStr">
        <is>
          <t xml:space="preserve">  3 T680 (Dec 2022 #2)</t>
        </is>
      </c>
      <c r="B48" s="21" t="inlineStr">
        <is>
          <t>Equipment</t>
        </is>
      </c>
      <c r="C48" s="71">
        <f>'_Paccar_16'!B6</f>
        <v/>
      </c>
      <c r="D48" s="94">
        <f>'_Paccar_16'!B7</f>
        <v/>
      </c>
      <c r="E48" s="71">
        <f>'_Paccar_16'!B8</f>
        <v/>
      </c>
      <c r="F48" s="85">
        <f>C48*D48</f>
        <v/>
      </c>
      <c r="G48" s="85">
        <f>MIN(C48,MAX(0,E48*12-F48))</f>
        <v/>
      </c>
      <c r="H48" s="11" t="inlineStr">
        <is>
          <t>09/30/2028</t>
        </is>
      </c>
    </row>
    <row r="49">
      <c r="A49" s="21" t="inlineStr">
        <is>
          <t xml:space="preserve">  7 T680 (May 2023)</t>
        </is>
      </c>
      <c r="B49" s="21" t="inlineStr">
        <is>
          <t>Equipment</t>
        </is>
      </c>
      <c r="C49" s="71">
        <f>'_Paccar_17'!B6</f>
        <v/>
      </c>
      <c r="D49" s="94">
        <f>'_Paccar_17'!B7</f>
        <v/>
      </c>
      <c r="E49" s="71">
        <f>'_Paccar_17'!B8</f>
        <v/>
      </c>
      <c r="F49" s="85">
        <f>C49*D49</f>
        <v/>
      </c>
      <c r="G49" s="85">
        <f>MIN(C49,MAX(0,E49*12-F49))</f>
        <v/>
      </c>
      <c r="H49" s="11" t="inlineStr">
        <is>
          <t>03/08/2028</t>
        </is>
      </c>
    </row>
    <row r="50">
      <c r="A50" s="21" t="inlineStr">
        <is>
          <t xml:space="preserve">  2 T680 (Jun 2023)</t>
        </is>
      </c>
      <c r="B50" s="21" t="inlineStr">
        <is>
          <t>Equipment</t>
        </is>
      </c>
      <c r="C50" s="71">
        <f>'_Paccar_18'!B6</f>
        <v/>
      </c>
      <c r="D50" s="94">
        <f>'_Paccar_18'!B7</f>
        <v/>
      </c>
      <c r="E50" s="71">
        <f>'_Paccar_18'!B8</f>
        <v/>
      </c>
      <c r="F50" s="85">
        <f>C50*D50</f>
        <v/>
      </c>
      <c r="G50" s="85">
        <f>MIN(C50,MAX(0,E50*12-F50))</f>
        <v/>
      </c>
      <c r="H50" s="11" t="inlineStr">
        <is>
          <t>03/23/2024</t>
        </is>
      </c>
    </row>
    <row r="51">
      <c r="A51" s="21" t="inlineStr">
        <is>
          <t xml:space="preserve">  7 T680 (Jan 2024)</t>
        </is>
      </c>
      <c r="B51" s="21" t="inlineStr">
        <is>
          <t>Equipment</t>
        </is>
      </c>
      <c r="C51" s="71">
        <f>'_Paccar_19'!B6</f>
        <v/>
      </c>
      <c r="D51" s="94">
        <f>'_Paccar_19'!B7</f>
        <v/>
      </c>
      <c r="E51" s="71">
        <f>'_Paccar_19'!B8</f>
        <v/>
      </c>
      <c r="F51" s="85">
        <f>C51*D51</f>
        <v/>
      </c>
      <c r="G51" s="85">
        <f>MIN(C51,MAX(0,E51*12-F51))</f>
        <v/>
      </c>
      <c r="H51" s="11" t="inlineStr">
        <is>
          <t>11/11/2029</t>
        </is>
      </c>
    </row>
    <row r="52">
      <c r="A52" s="21" t="inlineStr">
        <is>
          <t xml:space="preserve">  5 Peterbilt 579s (Jan 2024)</t>
        </is>
      </c>
      <c r="B52" s="21" t="inlineStr">
        <is>
          <t>Equipment</t>
        </is>
      </c>
      <c r="C52" s="71">
        <f>'_Paccar_20'!B6</f>
        <v/>
      </c>
      <c r="D52" s="94">
        <f>'_Paccar_20'!B7</f>
        <v/>
      </c>
      <c r="E52" s="71">
        <f>'_Paccar_20'!B8</f>
        <v/>
      </c>
      <c r="F52" s="85">
        <f>C52*D52</f>
        <v/>
      </c>
      <c r="G52" s="85">
        <f>MIN(C52,MAX(0,E52*12-F52))</f>
        <v/>
      </c>
      <c r="H52" s="11" t="inlineStr">
        <is>
          <t>11/16/2029</t>
        </is>
      </c>
    </row>
    <row r="53">
      <c r="A53" s="21" t="inlineStr">
        <is>
          <t xml:space="preserve">  8 T680 (Feb 2024)</t>
        </is>
      </c>
      <c r="B53" s="21" t="inlineStr">
        <is>
          <t>Equipment</t>
        </is>
      </c>
      <c r="C53" s="71">
        <f>'_Paccar_21'!B6</f>
        <v/>
      </c>
      <c r="D53" s="94">
        <f>'_Paccar_21'!B7</f>
        <v/>
      </c>
      <c r="E53" s="71">
        <f>'_Paccar_21'!B8</f>
        <v/>
      </c>
      <c r="F53" s="85">
        <f>C53*D53</f>
        <v/>
      </c>
      <c r="G53" s="85">
        <f>MIN(C53,MAX(0,E53*12-F53))</f>
        <v/>
      </c>
      <c r="H53" s="11" t="inlineStr">
        <is>
          <t>12/07/2029</t>
        </is>
      </c>
    </row>
    <row r="54">
      <c r="A54" s="21" t="inlineStr">
        <is>
          <t xml:space="preserve">  5 Peterbilt 579s (Feb 2024)</t>
        </is>
      </c>
      <c r="B54" s="21" t="inlineStr">
        <is>
          <t>Equipment</t>
        </is>
      </c>
      <c r="C54" s="71">
        <f>'_Paccar_22'!B6</f>
        <v/>
      </c>
      <c r="D54" s="94">
        <f>'_Paccar_22'!B7</f>
        <v/>
      </c>
      <c r="E54" s="71">
        <f>'_Paccar_22'!B8</f>
        <v/>
      </c>
      <c r="F54" s="85">
        <f>C54*D54</f>
        <v/>
      </c>
      <c r="G54" s="85">
        <f>MIN(C54,MAX(0,E54*12-F54))</f>
        <v/>
      </c>
      <c r="H54" s="11" t="inlineStr">
        <is>
          <t>12/13/2029</t>
        </is>
      </c>
    </row>
    <row r="55">
      <c r="A55" s="14" t="inlineStr">
        <is>
          <t xml:space="preserve">  Subtotal - Paccar</t>
        </is>
      </c>
      <c r="B55" s="15" t="n"/>
      <c r="C55" s="95">
        <f>SUM(C33,C34,C35,C36,C37,C38,C39,C40,C41,C42,C43,C44,C45,C46,C47,C48,C49,C50,C51,C52,C53,C54)</f>
        <v/>
      </c>
      <c r="D55" s="15" t="n"/>
      <c r="E55" s="15" t="n"/>
      <c r="F55" s="95">
        <f>SUM(F33,F34,F35,F36,F37,F38,F39,F40,F41,F42,F43,F44,F45,F46,F47,F48,F49,F50,F51,F52,F53,F54)</f>
        <v/>
      </c>
      <c r="G55" s="95">
        <f>SUM(G33,G34,G35,G36,G37,G38,G39,G40,G41,G42,G43,G44,G45,G46,G47,G48,G49,G50,G51,G52,G53,G54)</f>
        <v/>
      </c>
      <c r="H55" s="15" t="n"/>
    </row>
    <row r="57">
      <c r="A57" s="91" t="inlineStr">
        <is>
          <t>WELLS FARGO (3 loans)</t>
        </is>
      </c>
      <c r="B57" s="92" t="n"/>
      <c r="C57" s="92" t="n"/>
      <c r="D57" s="92" t="n"/>
      <c r="E57" s="92" t="n"/>
      <c r="F57" s="92" t="n"/>
      <c r="G57" s="92" t="n"/>
      <c r="H57" s="93" t="n"/>
    </row>
    <row r="58">
      <c r="A58" s="21" t="inlineStr">
        <is>
          <t xml:space="preserve">  40 Trailers (Jun 2017)</t>
        </is>
      </c>
      <c r="B58" s="21" t="inlineStr">
        <is>
          <t>Equipment</t>
        </is>
      </c>
      <c r="C58" s="71">
        <f>'_Wells_1'!B6</f>
        <v/>
      </c>
      <c r="D58" s="94">
        <f>'_Wells_1'!B7</f>
        <v/>
      </c>
      <c r="E58" s="71">
        <f>'_Wells_1'!B8</f>
        <v/>
      </c>
      <c r="F58" s="85">
        <f>C58*D58</f>
        <v/>
      </c>
      <c r="G58" s="85">
        <f>MIN(C58,MAX(0,E58*12-F58))</f>
        <v/>
      </c>
      <c r="H58" s="11" t="inlineStr">
        <is>
          <t>01/21/2026</t>
        </is>
      </c>
    </row>
    <row r="59">
      <c r="A59" s="21" t="inlineStr">
        <is>
          <t xml:space="preserve">  35 Trailers (Jul 2017)</t>
        </is>
      </c>
      <c r="B59" s="21" t="inlineStr">
        <is>
          <t>Equipment</t>
        </is>
      </c>
      <c r="C59" s="71">
        <f>'_Wells_2'!B6</f>
        <v/>
      </c>
      <c r="D59" s="94">
        <f>'_Wells_2'!B7</f>
        <v/>
      </c>
      <c r="E59" s="71">
        <f>'_Wells_2'!B8</f>
        <v/>
      </c>
      <c r="F59" s="85">
        <f>C59*D59</f>
        <v/>
      </c>
      <c r="G59" s="85">
        <f>MIN(C59,MAX(0,E59*12-F59))</f>
        <v/>
      </c>
      <c r="H59" s="11" t="inlineStr">
        <is>
          <t>02/28/2026</t>
        </is>
      </c>
    </row>
    <row r="60">
      <c r="A60" s="21" t="inlineStr">
        <is>
          <t xml:space="preserve">  27 Trailers (Apr 2018)</t>
        </is>
      </c>
      <c r="B60" s="21" t="inlineStr">
        <is>
          <t>Equipment</t>
        </is>
      </c>
      <c r="C60" s="71">
        <f>'_Wells_3'!B6</f>
        <v/>
      </c>
      <c r="D60" s="94">
        <f>'_Wells_3'!B7</f>
        <v/>
      </c>
      <c r="E60" s="71">
        <f>'_Wells_3'!B8</f>
        <v/>
      </c>
      <c r="F60" s="85">
        <f>C60*D60</f>
        <v/>
      </c>
      <c r="G60" s="85">
        <f>MIN(C60,MAX(0,E60*12-F60))</f>
        <v/>
      </c>
      <c r="H60" s="11" t="inlineStr">
        <is>
          <t>07/23/2025</t>
        </is>
      </c>
    </row>
    <row r="61">
      <c r="A61" s="14" t="inlineStr">
        <is>
          <t xml:space="preserve">  Subtotal - Wells Fargo</t>
        </is>
      </c>
      <c r="B61" s="15" t="n"/>
      <c r="C61" s="95">
        <f>SUM(C58,C59,C60)</f>
        <v/>
      </c>
      <c r="D61" s="15" t="n"/>
      <c r="E61" s="15" t="n"/>
      <c r="F61" s="95">
        <f>SUM(F58,F59,F60)</f>
        <v/>
      </c>
      <c r="G61" s="95">
        <f>SUM(G58,G59,G60)</f>
        <v/>
      </c>
      <c r="H61" s="15" t="n"/>
    </row>
    <row r="63">
      <c r="A63" s="91" t="inlineStr">
        <is>
          <t>HUNTINGTON (5 loans)</t>
        </is>
      </c>
      <c r="B63" s="92" t="n"/>
      <c r="C63" s="92" t="n"/>
      <c r="D63" s="92" t="n"/>
      <c r="E63" s="92" t="n"/>
      <c r="F63" s="92" t="n"/>
      <c r="G63" s="92" t="n"/>
      <c r="H63" s="93" t="n"/>
    </row>
    <row r="64">
      <c r="A64" s="21" t="inlineStr">
        <is>
          <t xml:space="preserve">  5 Sleepers (Mar 2022)</t>
        </is>
      </c>
      <c r="B64" s="21" t="inlineStr">
        <is>
          <t>Equipment</t>
        </is>
      </c>
      <c r="C64" s="71">
        <f>'_Huntington_1'!B6</f>
        <v/>
      </c>
      <c r="D64" s="94">
        <f>'_Huntington_1'!B7</f>
        <v/>
      </c>
      <c r="E64" s="71">
        <f>'_Huntington_1'!B8</f>
        <v/>
      </c>
      <c r="F64" s="85">
        <f>C64*D64</f>
        <v/>
      </c>
      <c r="G64" s="85">
        <f>MIN(C64,MAX(0,E64*12-F64))</f>
        <v/>
      </c>
      <c r="H64" s="11" t="inlineStr">
        <is>
          <t>09/03/2027</t>
        </is>
      </c>
    </row>
    <row r="65">
      <c r="A65" s="21" t="inlineStr">
        <is>
          <t xml:space="preserve">  25 Trailers (Mar 2022)</t>
        </is>
      </c>
      <c r="B65" s="21" t="inlineStr">
        <is>
          <t>Equipment</t>
        </is>
      </c>
      <c r="C65" s="71">
        <f>'_Huntington_2'!B6</f>
        <v/>
      </c>
      <c r="D65" s="94">
        <f>'_Huntington_2'!B7</f>
        <v/>
      </c>
      <c r="E65" s="71">
        <f>'_Huntington_2'!B8</f>
        <v/>
      </c>
      <c r="F65" s="85">
        <f>C65*D65</f>
        <v/>
      </c>
      <c r="G65" s="85">
        <f>MIN(C65,MAX(0,E65*12-F65))</f>
        <v/>
      </c>
      <c r="H65" s="11" t="inlineStr">
        <is>
          <t>03/17/2029</t>
        </is>
      </c>
    </row>
    <row r="66">
      <c r="A66" s="21" t="inlineStr">
        <is>
          <t xml:space="preserve">  1 T880 DC &amp; 3 T680 SLPR (May 2022)</t>
        </is>
      </c>
      <c r="B66" s="21" t="inlineStr">
        <is>
          <t>Equipment</t>
        </is>
      </c>
      <c r="C66" s="71">
        <f>'_Huntington_3'!B6</f>
        <v/>
      </c>
      <c r="D66" s="94">
        <f>'_Huntington_3'!B7</f>
        <v/>
      </c>
      <c r="E66" s="71">
        <f>'_Huntington_3'!B8</f>
        <v/>
      </c>
      <c r="F66" s="85">
        <f>C66*D66</f>
        <v/>
      </c>
      <c r="G66" s="85">
        <f>MIN(C66,MAX(0,E66*12-F66))</f>
        <v/>
      </c>
      <c r="H66" s="11" t="inlineStr">
        <is>
          <t>11/03/2027</t>
        </is>
      </c>
    </row>
    <row r="67">
      <c r="A67" s="21" t="inlineStr">
        <is>
          <t xml:space="preserve">  3 T880 DC &amp; 1 T680 SLPR (May 2022)</t>
        </is>
      </c>
      <c r="B67" s="21" t="inlineStr">
        <is>
          <t>Equipment</t>
        </is>
      </c>
      <c r="C67" s="71">
        <f>'_Huntington_4'!B6</f>
        <v/>
      </c>
      <c r="D67" s="94">
        <f>'_Huntington_4'!B7</f>
        <v/>
      </c>
      <c r="E67" s="71">
        <f>'_Huntington_4'!B8</f>
        <v/>
      </c>
      <c r="F67" s="85">
        <f>C67*D67</f>
        <v/>
      </c>
      <c r="G67" s="85">
        <f>MIN(C67,MAX(0,E67*12-F67))</f>
        <v/>
      </c>
      <c r="H67" s="11" t="inlineStr">
        <is>
          <t>11/18/2027</t>
        </is>
      </c>
    </row>
    <row r="68">
      <c r="A68" s="21" t="inlineStr">
        <is>
          <t xml:space="preserve">  2 T880 DC (Jun 2022)</t>
        </is>
      </c>
      <c r="B68" s="21" t="inlineStr">
        <is>
          <t>Equipment</t>
        </is>
      </c>
      <c r="C68" s="71">
        <f>'_Huntington_5'!B6</f>
        <v/>
      </c>
      <c r="D68" s="94">
        <f>'_Huntington_5'!B7</f>
        <v/>
      </c>
      <c r="E68" s="71">
        <f>'_Huntington_5'!B8</f>
        <v/>
      </c>
      <c r="F68" s="85">
        <f>C68*D68</f>
        <v/>
      </c>
      <c r="G68" s="85">
        <f>MIN(C68,MAX(0,E68*12-F68))</f>
        <v/>
      </c>
      <c r="H68" s="11" t="inlineStr">
        <is>
          <t>12/01/2027</t>
        </is>
      </c>
    </row>
    <row r="69">
      <c r="A69" s="14" t="inlineStr">
        <is>
          <t xml:space="preserve">  Subtotal - Huntington</t>
        </is>
      </c>
      <c r="B69" s="15" t="n"/>
      <c r="C69" s="95">
        <f>SUM(C64,C65,C66,C67,C68)</f>
        <v/>
      </c>
      <c r="D69" s="15" t="n"/>
      <c r="E69" s="15" t="n"/>
      <c r="F69" s="95">
        <f>SUM(F64,F65,F66,F67,F68)</f>
        <v/>
      </c>
      <c r="G69" s="95">
        <f>SUM(G64,G65,G66,G67,G68)</f>
        <v/>
      </c>
      <c r="H69" s="15" t="n"/>
    </row>
    <row r="71">
      <c r="A71" s="91" t="inlineStr">
        <is>
          <t>ASCENTIUM (2 loans)</t>
        </is>
      </c>
      <c r="B71" s="92" t="n"/>
      <c r="C71" s="92" t="n"/>
      <c r="D71" s="92" t="n"/>
      <c r="E71" s="92" t="n"/>
      <c r="F71" s="92" t="n"/>
      <c r="G71" s="92" t="n"/>
      <c r="H71" s="93" t="n"/>
    </row>
    <row r="72">
      <c r="A72" s="21" t="inlineStr">
        <is>
          <t xml:space="preserve">  5 Trailers Texas 393 (Jun 2025)</t>
        </is>
      </c>
      <c r="B72" s="21" t="inlineStr">
        <is>
          <t>Equipment</t>
        </is>
      </c>
      <c r="C72" s="71">
        <f>'_Ascentium_1'!B6</f>
        <v/>
      </c>
      <c r="D72" s="94">
        <f>'_Ascentium_1'!B7</f>
        <v/>
      </c>
      <c r="E72" s="71">
        <f>'_Ascentium_1'!B8</f>
        <v/>
      </c>
      <c r="F72" s="85">
        <f>C72*D72</f>
        <v/>
      </c>
      <c r="G72" s="85">
        <f>MIN(C72,MAX(0,E72*12-F72))</f>
        <v/>
      </c>
      <c r="H72" s="11" t="inlineStr">
        <is>
          <t>06/01/2030</t>
        </is>
      </c>
    </row>
    <row r="73">
      <c r="A73" s="21" t="inlineStr">
        <is>
          <t xml:space="preserve">  5 Trailers Texas 489 (Jul 2025)</t>
        </is>
      </c>
      <c r="B73" s="21" t="inlineStr">
        <is>
          <t>Equipment</t>
        </is>
      </c>
      <c r="C73" s="71">
        <f>'_Ascentium_2'!B6</f>
        <v/>
      </c>
      <c r="D73" s="94">
        <f>'_Ascentium_2'!B7</f>
        <v/>
      </c>
      <c r="E73" s="71">
        <f>'_Ascentium_2'!B8</f>
        <v/>
      </c>
      <c r="F73" s="85">
        <f>C73*D73</f>
        <v/>
      </c>
      <c r="G73" s="85">
        <f>MIN(C73,MAX(0,E73*12-F73))</f>
        <v/>
      </c>
      <c r="H73" s="11" t="inlineStr">
        <is>
          <t>06/15/2030</t>
        </is>
      </c>
    </row>
    <row r="74">
      <c r="A74" s="14" t="inlineStr">
        <is>
          <t xml:space="preserve">  Subtotal - Ascentium</t>
        </is>
      </c>
      <c r="B74" s="15" t="n"/>
      <c r="C74" s="95">
        <f>SUM(C72,C73)</f>
        <v/>
      </c>
      <c r="D74" s="15" t="n"/>
      <c r="E74" s="15" t="n"/>
      <c r="F74" s="95">
        <f>SUM(F72,F73)</f>
        <v/>
      </c>
      <c r="G74" s="95">
        <f>SUM(G72,G73)</f>
        <v/>
      </c>
      <c r="H74" s="15" t="n"/>
    </row>
    <row r="76">
      <c r="A76" s="91" t="inlineStr">
        <is>
          <t>AMUR (1 loan)</t>
        </is>
      </c>
      <c r="B76" s="92" t="n"/>
      <c r="C76" s="92" t="n"/>
      <c r="D76" s="92" t="n"/>
      <c r="E76" s="92" t="n"/>
      <c r="F76" s="92" t="n"/>
      <c r="G76" s="92" t="n"/>
      <c r="H76" s="93" t="n"/>
    </row>
    <row r="77">
      <c r="A77" s="21" t="inlineStr">
        <is>
          <t xml:space="preserve">  10 Tanker Pumps (Sep 2025)</t>
        </is>
      </c>
      <c r="B77" s="21" t="inlineStr">
        <is>
          <t>Equipment</t>
        </is>
      </c>
      <c r="C77" s="71">
        <f>'_Amur_1'!B6</f>
        <v/>
      </c>
      <c r="D77" s="94">
        <f>'_Amur_1'!B7</f>
        <v/>
      </c>
      <c r="E77" s="71">
        <f>'_Amur_1'!B8</f>
        <v/>
      </c>
      <c r="F77" s="85">
        <f>C77*D77</f>
        <v/>
      </c>
      <c r="G77" s="85">
        <f>MIN(C77,MAX(0,E77*12-F77))</f>
        <v/>
      </c>
      <c r="H77" s="11" t="inlineStr">
        <is>
          <t>08/01/2031</t>
        </is>
      </c>
    </row>
    <row r="78">
      <c r="A78" s="14" t="inlineStr">
        <is>
          <t xml:space="preserve">  Subtotal - Amur</t>
        </is>
      </c>
      <c r="B78" s="15" t="n"/>
      <c r="C78" s="95">
        <f>SUM(C77)</f>
        <v/>
      </c>
      <c r="D78" s="15" t="n"/>
      <c r="E78" s="15" t="n"/>
      <c r="F78" s="95">
        <f>SUM(F77)</f>
        <v/>
      </c>
      <c r="G78" s="95">
        <f>SUM(G77)</f>
        <v/>
      </c>
      <c r="H78" s="15" t="n"/>
    </row>
    <row r="80">
      <c r="A80" s="91" t="inlineStr">
        <is>
          <t>DAIMLER (1 loan)</t>
        </is>
      </c>
      <c r="B80" s="92" t="n"/>
      <c r="C80" s="92" t="n"/>
      <c r="D80" s="92" t="n"/>
      <c r="E80" s="92" t="n"/>
      <c r="F80" s="92" t="n"/>
      <c r="G80" s="92" t="n"/>
      <c r="H80" s="93" t="n"/>
    </row>
    <row r="81">
      <c r="A81" s="21" t="inlineStr">
        <is>
          <t xml:space="preserve">  2 KW W900L 2022 (Oct 2025)</t>
        </is>
      </c>
      <c r="B81" s="21" t="inlineStr">
        <is>
          <t>Equipment</t>
        </is>
      </c>
      <c r="C81" s="71">
        <f>'_Daimler_1'!B6</f>
        <v/>
      </c>
      <c r="D81" s="94">
        <f>'_Daimler_1'!B7</f>
        <v/>
      </c>
      <c r="E81" s="71">
        <f>'_Daimler_1'!B8</f>
        <v/>
      </c>
      <c r="F81" s="85">
        <f>C81*D81</f>
        <v/>
      </c>
      <c r="G81" s="85">
        <f>MIN(C81,MAX(0,E81*12-F81))</f>
        <v/>
      </c>
      <c r="H81" s="11" t="inlineStr">
        <is>
          <t>09/04/2029</t>
        </is>
      </c>
    </row>
    <row r="82">
      <c r="A82" s="14" t="inlineStr">
        <is>
          <t xml:space="preserve">  Subtotal - Daimler</t>
        </is>
      </c>
      <c r="B82" s="15" t="n"/>
      <c r="C82" s="95">
        <f>SUM(C81)</f>
        <v/>
      </c>
      <c r="D82" s="15" t="n"/>
      <c r="E82" s="15" t="n"/>
      <c r="F82" s="95">
        <f>SUM(F81)</f>
        <v/>
      </c>
      <c r="G82" s="95">
        <f>SUM(G81)</f>
        <v/>
      </c>
      <c r="H82" s="15" t="n"/>
    </row>
    <row r="84">
      <c r="A84" s="91" t="inlineStr">
        <is>
          <t>JX FINANCIAL (1 loan)</t>
        </is>
      </c>
      <c r="B84" s="92" t="n"/>
      <c r="C84" s="92" t="n"/>
      <c r="D84" s="92" t="n"/>
      <c r="E84" s="92" t="n"/>
      <c r="F84" s="92" t="n"/>
      <c r="G84" s="92" t="n"/>
      <c r="H84" s="93" t="n"/>
    </row>
    <row r="85">
      <c r="A85" s="21" t="inlineStr">
        <is>
          <t xml:space="preserve">  50 Trailers 53719-53768 (Oct 2025)</t>
        </is>
      </c>
      <c r="B85" s="21" t="inlineStr">
        <is>
          <t>Equipment</t>
        </is>
      </c>
      <c r="C85" s="71">
        <f>'_JXFinancial_1'!B6</f>
        <v/>
      </c>
      <c r="D85" s="94">
        <f>'_JXFinancial_1'!B7</f>
        <v/>
      </c>
      <c r="E85" s="71">
        <f>'_JXFinancial_1'!B8</f>
        <v/>
      </c>
      <c r="F85" s="85">
        <f>C85*D85</f>
        <v/>
      </c>
      <c r="G85" s="85">
        <f>MIN(C85,MAX(0,E85*12-F85))</f>
        <v/>
      </c>
      <c r="H85" s="11" t="inlineStr">
        <is>
          <t>09/23/2031</t>
        </is>
      </c>
    </row>
    <row r="86">
      <c r="A86" s="14" t="inlineStr">
        <is>
          <t xml:space="preserve">  Subtotal - JX Financial</t>
        </is>
      </c>
      <c r="B86" s="15" t="n"/>
      <c r="C86" s="95">
        <f>SUM(C85)</f>
        <v/>
      </c>
      <c r="D86" s="15" t="n"/>
      <c r="E86" s="15" t="n"/>
      <c r="F86" s="95">
        <f>SUM(F85)</f>
        <v/>
      </c>
      <c r="G86" s="95">
        <f>SUM(G85)</f>
        <v/>
      </c>
      <c r="H86" s="15" t="n"/>
    </row>
    <row r="88">
      <c r="A88" s="91" t="inlineStr">
        <is>
          <t>CCG (3 loans)</t>
        </is>
      </c>
      <c r="B88" s="92" t="n"/>
      <c r="C88" s="92" t="n"/>
      <c r="D88" s="92" t="n"/>
      <c r="E88" s="92" t="n"/>
      <c r="F88" s="92" t="n"/>
      <c r="G88" s="92" t="n"/>
      <c r="H88" s="93" t="n"/>
    </row>
    <row r="89">
      <c r="A89" s="21" t="inlineStr">
        <is>
          <t xml:space="preserve">  5 Trucks 809-813 (Nov 2025)</t>
        </is>
      </c>
      <c r="B89" s="21" t="inlineStr">
        <is>
          <t>Equipment</t>
        </is>
      </c>
      <c r="C89" s="71">
        <f>'_CCG_1'!B6</f>
        <v/>
      </c>
      <c r="D89" s="94">
        <f>'_CCG_1'!B7</f>
        <v/>
      </c>
      <c r="E89" s="71">
        <f>'_CCG_1'!B8</f>
        <v/>
      </c>
      <c r="F89" s="85">
        <f>C89*D89</f>
        <v/>
      </c>
      <c r="G89" s="85">
        <f>MIN(C89,MAX(0,E89*12-F89))</f>
        <v/>
      </c>
      <c r="H89" s="11" t="inlineStr">
        <is>
          <t>08/10/2030</t>
        </is>
      </c>
    </row>
    <row r="90">
      <c r="A90" s="21" t="inlineStr">
        <is>
          <t xml:space="preserve">  6 Trucks 814-819 (Nov 2025)</t>
        </is>
      </c>
      <c r="B90" s="21" t="inlineStr">
        <is>
          <t>Equipment</t>
        </is>
      </c>
      <c r="C90" s="71">
        <f>'_CCG_2'!B6</f>
        <v/>
      </c>
      <c r="D90" s="94">
        <f>'_CCG_2'!B7</f>
        <v/>
      </c>
      <c r="E90" s="71">
        <f>'_CCG_2'!B8</f>
        <v/>
      </c>
      <c r="F90" s="85">
        <f>C90*D90</f>
        <v/>
      </c>
      <c r="G90" s="85">
        <f>MIN(C90,MAX(0,E90*12-F90))</f>
        <v/>
      </c>
      <c r="H90" s="11" t="inlineStr">
        <is>
          <t>08/10/2030</t>
        </is>
      </c>
    </row>
    <row r="91">
      <c r="A91" s="21" t="inlineStr">
        <is>
          <t xml:space="preserve">  6 Trucks 820-825 (Nov 2025)</t>
        </is>
      </c>
      <c r="B91" s="21" t="inlineStr">
        <is>
          <t>Equipment</t>
        </is>
      </c>
      <c r="C91" s="71">
        <f>'_CCG_3'!B6</f>
        <v/>
      </c>
      <c r="D91" s="94">
        <f>'_CCG_3'!B7</f>
        <v/>
      </c>
      <c r="E91" s="71">
        <f>'_CCG_3'!B8</f>
        <v/>
      </c>
      <c r="F91" s="85">
        <f>C91*D91</f>
        <v/>
      </c>
      <c r="G91" s="85">
        <f>MIN(C91,MAX(0,E91*12-F91))</f>
        <v/>
      </c>
      <c r="H91" s="11" t="inlineStr">
        <is>
          <t>08/10/2030</t>
        </is>
      </c>
    </row>
    <row r="92">
      <c r="A92" s="14" t="inlineStr">
        <is>
          <t xml:space="preserve">  Subtotal - CCG</t>
        </is>
      </c>
      <c r="B92" s="15" t="n"/>
      <c r="C92" s="95">
        <f>SUM(C89,C90,C91)</f>
        <v/>
      </c>
      <c r="D92" s="15" t="n"/>
      <c r="E92" s="15" t="n"/>
      <c r="F92" s="95">
        <f>SUM(F89,F90,F91)</f>
        <v/>
      </c>
      <c r="G92" s="95">
        <f>SUM(G89,G90,G91)</f>
        <v/>
      </c>
      <c r="H92" s="15" t="n"/>
    </row>
    <row r="94">
      <c r="A94" s="91" t="inlineStr">
        <is>
          <t>FPG (1 loan)</t>
        </is>
      </c>
      <c r="B94" s="92" t="n"/>
      <c r="C94" s="92" t="n"/>
      <c r="D94" s="92" t="n"/>
      <c r="E94" s="92" t="n"/>
      <c r="F94" s="92" t="n"/>
      <c r="G94" s="92" t="n"/>
      <c r="H94" s="93" t="n"/>
    </row>
    <row r="95">
      <c r="A95" s="21" t="inlineStr">
        <is>
          <t xml:space="preserve">  Houston WHS Container Forklift (Aug 2025)</t>
        </is>
      </c>
      <c r="B95" s="21" t="inlineStr">
        <is>
          <t>Equipment</t>
        </is>
      </c>
      <c r="C95" s="71">
        <f>'_FPG_1'!B6</f>
        <v/>
      </c>
      <c r="D95" s="94">
        <f>'_FPG_1'!B7</f>
        <v/>
      </c>
      <c r="E95" s="71">
        <f>'_FPG_1'!B8</f>
        <v/>
      </c>
      <c r="F95" s="85">
        <f>C95*D95</f>
        <v/>
      </c>
      <c r="G95" s="85">
        <f>MIN(C95,MAX(0,E95*12-F95))</f>
        <v/>
      </c>
      <c r="H95" s="11" t="inlineStr">
        <is>
          <t>08/01/2028</t>
        </is>
      </c>
    </row>
    <row r="96">
      <c r="A96" s="14" t="inlineStr">
        <is>
          <t xml:space="preserve">  Subtotal - FPG</t>
        </is>
      </c>
      <c r="B96" s="15" t="n"/>
      <c r="C96" s="95">
        <f>SUM(C95)</f>
        <v/>
      </c>
      <c r="D96" s="15" t="n"/>
      <c r="E96" s="15" t="n"/>
      <c r="F96" s="95">
        <f>SUM(F95)</f>
        <v/>
      </c>
      <c r="G96" s="95">
        <f>SUM(G95)</f>
        <v/>
      </c>
      <c r="H96" s="15" t="n"/>
    </row>
    <row r="98">
      <c r="A98" s="91" t="inlineStr">
        <is>
          <t>BANK OF AMERICA (1 loan)</t>
        </is>
      </c>
      <c r="B98" s="92" t="n"/>
      <c r="C98" s="92" t="n"/>
      <c r="D98" s="92" t="n"/>
      <c r="E98" s="92" t="n"/>
      <c r="F98" s="92" t="n"/>
      <c r="G98" s="92" t="n"/>
      <c r="H98" s="93" t="n"/>
    </row>
    <row r="99">
      <c r="A99" s="21" t="inlineStr">
        <is>
          <t xml:space="preserve">  2024 Corvette (Feb 2024)</t>
        </is>
      </c>
      <c r="B99" s="21" t="inlineStr">
        <is>
          <t>Vehicle</t>
        </is>
      </c>
      <c r="C99" s="71">
        <f>'_BoA_1'!B6</f>
        <v/>
      </c>
      <c r="D99" s="94">
        <f>'_BoA_1'!B7</f>
        <v/>
      </c>
      <c r="E99" s="71">
        <f>'_BoA_1'!B8</f>
        <v/>
      </c>
      <c r="F99" s="85">
        <f>C99*D99</f>
        <v/>
      </c>
      <c r="G99" s="85">
        <f>MIN(C99,MAX(0,E99*12-F99))</f>
        <v/>
      </c>
      <c r="H99" s="11" t="inlineStr">
        <is>
          <t>02/01/2028</t>
        </is>
      </c>
    </row>
    <row r="100">
      <c r="A100" s="14" t="inlineStr">
        <is>
          <t xml:space="preserve">  Subtotal - Bank of America</t>
        </is>
      </c>
      <c r="B100" s="15" t="n"/>
      <c r="C100" s="95">
        <f>SUM(C99)</f>
        <v/>
      </c>
      <c r="D100" s="15" t="n"/>
      <c r="E100" s="15" t="n"/>
      <c r="F100" s="95">
        <f>SUM(F99)</f>
        <v/>
      </c>
      <c r="G100" s="95">
        <f>SUM(G99)</f>
        <v/>
      </c>
      <c r="H100" s="15" t="n"/>
    </row>
    <row r="102">
      <c r="A102" s="91" t="inlineStr">
        <is>
          <t>INTERNATIONAL FINANCIAL (2 loans)</t>
        </is>
      </c>
      <c r="B102" s="92" t="n"/>
      <c r="C102" s="92" t="n"/>
      <c r="D102" s="92" t="n"/>
      <c r="E102" s="92" t="n"/>
      <c r="F102" s="92" t="n"/>
      <c r="G102" s="92" t="n"/>
      <c r="H102" s="93" t="n"/>
    </row>
    <row r="103">
      <c r="A103" s="21" t="inlineStr">
        <is>
          <t xml:space="preserve">  8 TRKS International 801-808 (Jul 2025)</t>
        </is>
      </c>
      <c r="B103" s="21" t="inlineStr">
        <is>
          <t>Equipment</t>
        </is>
      </c>
      <c r="C103" s="71">
        <f>'_IntlFin_1'!B6</f>
        <v/>
      </c>
      <c r="D103" s="94">
        <f>'_IntlFin_1'!B7</f>
        <v/>
      </c>
      <c r="E103" s="71">
        <f>'_IntlFin_1'!B8</f>
        <v/>
      </c>
      <c r="F103" s="85">
        <f>C103*D103</f>
        <v/>
      </c>
      <c r="G103" s="85">
        <f>MIN(C103,MAX(0,E103*12-F103))</f>
        <v/>
      </c>
      <c r="H103" s="11" t="inlineStr">
        <is>
          <t>08/01/2031</t>
        </is>
      </c>
    </row>
    <row r="104">
      <c r="A104" s="21" t="inlineStr">
        <is>
          <t xml:space="preserve">  17 TRKS Service Contract (Nov 2025)</t>
        </is>
      </c>
      <c r="B104" s="21" t="inlineStr">
        <is>
          <t>Equipment</t>
        </is>
      </c>
      <c r="C104" s="71">
        <f>'_IntlFin_2'!B6</f>
        <v/>
      </c>
      <c r="D104" s="94">
        <f>'_IntlFin_2'!B7</f>
        <v/>
      </c>
      <c r="E104" s="71">
        <f>'_IntlFin_2'!B8</f>
        <v/>
      </c>
      <c r="F104" s="85">
        <f>C104*D104</f>
        <v/>
      </c>
      <c r="G104" s="85">
        <f>MIN(C104,MAX(0,E104*12-F104))</f>
        <v/>
      </c>
      <c r="H104" s="11" t="inlineStr">
        <is>
          <t>10/03/2030</t>
        </is>
      </c>
    </row>
    <row r="105">
      <c r="A105" s="14" t="inlineStr">
        <is>
          <t xml:space="preserve">  Subtotal - International Financial</t>
        </is>
      </c>
      <c r="B105" s="15" t="n"/>
      <c r="C105" s="95">
        <f>SUM(C103,C104)</f>
        <v/>
      </c>
      <c r="D105" s="15" t="n"/>
      <c r="E105" s="15" t="n"/>
      <c r="F105" s="95">
        <f>SUM(F103,F104)</f>
        <v/>
      </c>
      <c r="G105" s="95">
        <f>SUM(G103,G104)</f>
        <v/>
      </c>
      <c r="H105" s="15" t="n"/>
    </row>
    <row r="107">
      <c r="A107" s="91" t="inlineStr">
        <is>
          <t>MERCEDES (1 loan)</t>
        </is>
      </c>
      <c r="B107" s="92" t="n"/>
      <c r="C107" s="92" t="n"/>
      <c r="D107" s="92" t="n"/>
      <c r="E107" s="92" t="n"/>
      <c r="F107" s="92" t="n"/>
      <c r="G107" s="92" t="n"/>
      <c r="H107" s="93" t="n"/>
    </row>
    <row r="108">
      <c r="A108" s="21" t="inlineStr">
        <is>
          <t xml:space="preserve">  Mercedes (Nov 2025)</t>
        </is>
      </c>
      <c r="B108" s="21" t="inlineStr">
        <is>
          <t>Equipment</t>
        </is>
      </c>
      <c r="C108" s="71">
        <f>'_Mercedes_1'!B6</f>
        <v/>
      </c>
      <c r="D108" s="94">
        <f>'_Mercedes_1'!B7</f>
        <v/>
      </c>
      <c r="E108" s="71">
        <f>'_Mercedes_1'!B8</f>
        <v/>
      </c>
      <c r="F108" s="85">
        <f>C108*D108</f>
        <v/>
      </c>
      <c r="G108" s="85">
        <f>MIN(C108,MAX(0,E108*12-F108))</f>
        <v/>
      </c>
      <c r="H108" s="11" t="inlineStr">
        <is>
          <t>10/03/2030</t>
        </is>
      </c>
    </row>
    <row r="109">
      <c r="A109" s="14" t="inlineStr">
        <is>
          <t xml:space="preserve">  Subtotal - Mercedes</t>
        </is>
      </c>
      <c r="B109" s="15" t="n"/>
      <c r="C109" s="95">
        <f>SUM(C108)</f>
        <v/>
      </c>
      <c r="D109" s="15" t="n"/>
      <c r="E109" s="15" t="n"/>
      <c r="F109" s="95">
        <f>SUM(F108)</f>
        <v/>
      </c>
      <c r="G109" s="95">
        <f>SUM(G108)</f>
        <v/>
      </c>
      <c r="H109" s="15" t="n"/>
    </row>
    <row r="111">
      <c r="A111" s="91" t="inlineStr">
        <is>
          <t>GM FINANCIAL (1 loan)</t>
        </is>
      </c>
      <c r="B111" s="92" t="n"/>
      <c r="C111" s="92" t="n"/>
      <c r="D111" s="92" t="n"/>
      <c r="E111" s="92" t="n"/>
      <c r="F111" s="92" t="n"/>
      <c r="G111" s="92" t="n"/>
      <c r="H111" s="93" t="n"/>
    </row>
    <row r="112">
      <c r="A112" s="21" t="inlineStr">
        <is>
          <t xml:space="preserve">  2020 GMC Sierra 3500HD (Oct 2025)</t>
        </is>
      </c>
      <c r="B112" s="21" t="inlineStr">
        <is>
          <t>Vehicle</t>
        </is>
      </c>
      <c r="C112" s="71">
        <f>'_GMFinancial_1'!B6</f>
        <v/>
      </c>
      <c r="D112" s="94">
        <f>'_GMFinancial_1'!B7</f>
        <v/>
      </c>
      <c r="E112" s="71">
        <f>'_GMFinancial_1'!B8</f>
        <v/>
      </c>
      <c r="F112" s="85">
        <f>C112*D112</f>
        <v/>
      </c>
      <c r="G112" s="85">
        <f>MIN(C112,MAX(0,E112*12-F112))</f>
        <v/>
      </c>
      <c r="H112" s="11" t="inlineStr">
        <is>
          <t>10/07/2031</t>
        </is>
      </c>
    </row>
    <row r="113">
      <c r="A113" s="14" t="inlineStr">
        <is>
          <t xml:space="preserve">  Subtotal - GM Financial</t>
        </is>
      </c>
      <c r="B113" s="15" t="n"/>
      <c r="C113" s="95">
        <f>SUM(C112)</f>
        <v/>
      </c>
      <c r="D113" s="15" t="n"/>
      <c r="E113" s="15" t="n"/>
      <c r="F113" s="95">
        <f>SUM(F112)</f>
        <v/>
      </c>
      <c r="G113" s="95">
        <f>SUM(G112)</f>
        <v/>
      </c>
      <c r="H113" s="15" t="n"/>
    </row>
    <row r="115">
      <c r="A115" s="91" t="inlineStr">
        <is>
          <t>FIRST COMMONWEALTH (1 loan)</t>
        </is>
      </c>
      <c r="B115" s="92" t="n"/>
      <c r="C115" s="92" t="n"/>
      <c r="D115" s="92" t="n"/>
      <c r="E115" s="92" t="n"/>
      <c r="F115" s="92" t="n"/>
      <c r="G115" s="92" t="n"/>
      <c r="H115" s="93" t="n"/>
    </row>
    <row r="116">
      <c r="A116" s="21" t="inlineStr">
        <is>
          <t xml:space="preserve">  2021 Lowboy Vin 1068838 (Jan 2026)</t>
        </is>
      </c>
      <c r="B116" s="21" t="inlineStr">
        <is>
          <t>Equipment</t>
        </is>
      </c>
      <c r="C116" s="71">
        <f>'_FirstCommonwealth_1'!B6</f>
        <v/>
      </c>
      <c r="D116" s="94">
        <f>'_FirstCommonwealth_1'!B7</f>
        <v/>
      </c>
      <c r="E116" s="71">
        <f>'_FirstCommonwealth_1'!B8</f>
        <v/>
      </c>
      <c r="F116" s="85">
        <f>C116*D116</f>
        <v/>
      </c>
      <c r="G116" s="85">
        <f>MIN(C116,MAX(0,E116*12-F116))</f>
        <v/>
      </c>
      <c r="H116" s="11" t="inlineStr">
        <is>
          <t>12/08/2031</t>
        </is>
      </c>
    </row>
    <row r="117">
      <c r="A117" s="14" t="inlineStr">
        <is>
          <t xml:space="preserve">  Subtotal - First Commonwealth</t>
        </is>
      </c>
      <c r="B117" s="15" t="n"/>
      <c r="C117" s="95">
        <f>SUM(C116)</f>
        <v/>
      </c>
      <c r="D117" s="15" t="n"/>
      <c r="E117" s="15" t="n"/>
      <c r="F117" s="95">
        <f>SUM(F116)</f>
        <v/>
      </c>
      <c r="G117" s="95">
        <f>SUM(G116)</f>
        <v/>
      </c>
      <c r="H117" s="15" t="n"/>
    </row>
    <row r="119">
      <c r="A119" s="91" t="inlineStr">
        <is>
          <t>SIGNATURE BANK (1 loan)</t>
        </is>
      </c>
      <c r="B119" s="92" t="n"/>
      <c r="C119" s="92" t="n"/>
      <c r="D119" s="92" t="n"/>
      <c r="E119" s="92" t="n"/>
      <c r="F119" s="92" t="n"/>
      <c r="G119" s="92" t="n"/>
      <c r="H119" s="93" t="n"/>
    </row>
    <row r="120">
      <c r="A120" s="21" t="inlineStr">
        <is>
          <t xml:space="preserve">  25 Trailers (Nov 2020)</t>
        </is>
      </c>
      <c r="B120" s="21" t="inlineStr">
        <is>
          <t>Equipment</t>
        </is>
      </c>
      <c r="C120" s="71">
        <f>'_SignatureBank_1'!B6</f>
        <v/>
      </c>
      <c r="D120" s="94">
        <f>'_SignatureBank_1'!B7</f>
        <v/>
      </c>
      <c r="E120" s="71">
        <f>'_SignatureBank_1'!B8</f>
        <v/>
      </c>
      <c r="F120" s="85">
        <f>C120*D120</f>
        <v/>
      </c>
      <c r="G120" s="85">
        <f>MIN(C120,MAX(0,E120*12-F120))</f>
        <v/>
      </c>
      <c r="H120" s="11" t="inlineStr">
        <is>
          <t>11/05/2027</t>
        </is>
      </c>
    </row>
    <row r="121">
      <c r="A121" s="14" t="inlineStr">
        <is>
          <t xml:space="preserve">  Subtotal - Signature Bank</t>
        </is>
      </c>
      <c r="B121" s="15" t="n"/>
      <c r="C121" s="95">
        <f>SUM(C120)</f>
        <v/>
      </c>
      <c r="D121" s="15" t="n"/>
      <c r="E121" s="15" t="n"/>
      <c r="F121" s="95">
        <f>SUM(F120)</f>
        <v/>
      </c>
      <c r="G121" s="95">
        <f>SUM(G120)</f>
        <v/>
      </c>
      <c r="H121" s="15" t="n"/>
    </row>
    <row r="123">
      <c r="A123" s="91" t="inlineStr">
        <is>
          <t>NBH BANK (1 loan)</t>
        </is>
      </c>
      <c r="B123" s="92" t="n"/>
      <c r="C123" s="92" t="n"/>
      <c r="D123" s="92" t="n"/>
      <c r="E123" s="92" t="n"/>
      <c r="F123" s="92" t="n"/>
      <c r="G123" s="92" t="n"/>
      <c r="H123" s="93" t="n"/>
    </row>
    <row r="124">
      <c r="A124" s="21" t="inlineStr">
        <is>
          <t xml:space="preserve">  25 Trailers (Nov 2020)</t>
        </is>
      </c>
      <c r="B124" s="21" t="inlineStr">
        <is>
          <t>Equipment</t>
        </is>
      </c>
      <c r="C124" s="71">
        <f>'_NBHBank_1'!B6</f>
        <v/>
      </c>
      <c r="D124" s="94">
        <f>'_NBHBank_1'!B7</f>
        <v/>
      </c>
      <c r="E124" s="71">
        <f>'_NBHBank_1'!B8</f>
        <v/>
      </c>
      <c r="F124" s="85">
        <f>C124*D124</f>
        <v/>
      </c>
      <c r="G124" s="85">
        <f>MIN(C124,MAX(0,E124*12-F124))</f>
        <v/>
      </c>
      <c r="H124" s="11" t="inlineStr">
        <is>
          <t>11/20/2027</t>
        </is>
      </c>
    </row>
    <row r="125">
      <c r="A125" s="14" t="inlineStr">
        <is>
          <t xml:space="preserve">  Subtotal - NBH Bank</t>
        </is>
      </c>
      <c r="B125" s="15" t="n"/>
      <c r="C125" s="95">
        <f>SUM(C124)</f>
        <v/>
      </c>
      <c r="D125" s="15" t="n"/>
      <c r="E125" s="15" t="n"/>
      <c r="F125" s="95">
        <f>SUM(F124)</f>
        <v/>
      </c>
      <c r="G125" s="95">
        <f>SUM(G124)</f>
        <v/>
      </c>
      <c r="H125" s="15" t="n"/>
    </row>
    <row r="127">
      <c r="A127" s="91" t="inlineStr">
        <is>
          <t>PEOPLES BANK (1 loan)</t>
        </is>
      </c>
      <c r="B127" s="92" t="n"/>
      <c r="C127" s="92" t="n"/>
      <c r="D127" s="92" t="n"/>
      <c r="E127" s="92" t="n"/>
      <c r="F127" s="92" t="n"/>
      <c r="G127" s="92" t="n"/>
      <c r="H127" s="93" t="n"/>
    </row>
    <row r="128">
      <c r="A128" s="21" t="inlineStr">
        <is>
          <t xml:space="preserve">  25 Trailers (Dec 2020)</t>
        </is>
      </c>
      <c r="B128" s="21" t="inlineStr">
        <is>
          <t>Equipment</t>
        </is>
      </c>
      <c r="C128" s="71">
        <f>'_PeoplesBank_1'!B6</f>
        <v/>
      </c>
      <c r="D128" s="94">
        <f>'_PeoplesBank_1'!B7</f>
        <v/>
      </c>
      <c r="E128" s="71">
        <f>'_PeoplesBank_1'!B8</f>
        <v/>
      </c>
      <c r="F128" s="85">
        <f>C128*D128</f>
        <v/>
      </c>
      <c r="G128" s="85">
        <f>MIN(C128,MAX(0,E128*12-F128))</f>
        <v/>
      </c>
      <c r="H128" s="11" t="inlineStr">
        <is>
          <t>03/29/2028</t>
        </is>
      </c>
    </row>
    <row r="129">
      <c r="A129" s="14" t="inlineStr">
        <is>
          <t xml:space="preserve">  Subtotal - Peoples Bank</t>
        </is>
      </c>
      <c r="B129" s="15" t="n"/>
      <c r="C129" s="95">
        <f>SUM(C128)</f>
        <v/>
      </c>
      <c r="D129" s="15" t="n"/>
      <c r="E129" s="15" t="n"/>
      <c r="F129" s="95">
        <f>SUM(F128)</f>
        <v/>
      </c>
      <c r="G129" s="95">
        <f>SUM(G128)</f>
        <v/>
      </c>
      <c r="H129" s="15" t="n"/>
    </row>
    <row r="131">
      <c r="A131" s="91" t="inlineStr">
        <is>
          <t>PEAPACK (4 loans)</t>
        </is>
      </c>
      <c r="B131" s="92" t="n"/>
      <c r="C131" s="92" t="n"/>
      <c r="D131" s="92" t="n"/>
      <c r="E131" s="92" t="n"/>
      <c r="F131" s="92" t="n"/>
      <c r="G131" s="92" t="n"/>
      <c r="H131" s="93" t="n"/>
    </row>
    <row r="132">
      <c r="A132" s="21" t="inlineStr">
        <is>
          <t xml:space="preserve">  5 T680 Sleepers (Feb 2022)</t>
        </is>
      </c>
      <c r="B132" s="21" t="inlineStr">
        <is>
          <t>Equipment</t>
        </is>
      </c>
      <c r="C132" s="71">
        <f>'_Peapack_1'!B6</f>
        <v/>
      </c>
      <c r="D132" s="94">
        <f>'_Peapack_1'!B7</f>
        <v/>
      </c>
      <c r="E132" s="71">
        <f>'_Peapack_1'!B8</f>
        <v/>
      </c>
      <c r="F132" s="85">
        <f>C132*D132</f>
        <v/>
      </c>
      <c r="G132" s="85">
        <f>MIN(C132,MAX(0,E132*12-F132))</f>
        <v/>
      </c>
      <c r="H132" s="11" t="inlineStr">
        <is>
          <t>08/18/2027</t>
        </is>
      </c>
    </row>
    <row r="133">
      <c r="A133" s="21" t="inlineStr">
        <is>
          <t xml:space="preserve">  1 Autocar Spotter (May 2022)</t>
        </is>
      </c>
      <c r="B133" s="21" t="inlineStr">
        <is>
          <t>Equipment</t>
        </is>
      </c>
      <c r="C133" s="71">
        <f>'_Peapack_2'!B6</f>
        <v/>
      </c>
      <c r="D133" s="94">
        <f>'_Peapack_2'!B7</f>
        <v/>
      </c>
      <c r="E133" s="71">
        <f>'_Peapack_2'!B8</f>
        <v/>
      </c>
      <c r="F133" s="85">
        <f>C133*D133</f>
        <v/>
      </c>
      <c r="G133" s="85">
        <f>MIN(C133,MAX(0,E133*12-F133))</f>
        <v/>
      </c>
      <c r="H133" s="11" t="inlineStr">
        <is>
          <t>05/26/2027</t>
        </is>
      </c>
    </row>
    <row r="134">
      <c r="A134" s="21" t="inlineStr">
        <is>
          <t xml:space="preserve">  1 Electric Forklift (Jul 2024)</t>
        </is>
      </c>
      <c r="B134" s="21" t="inlineStr">
        <is>
          <t>Equipment</t>
        </is>
      </c>
      <c r="C134" s="71">
        <f>'_Peapack_3'!B6</f>
        <v/>
      </c>
      <c r="D134" s="94">
        <f>'_Peapack_3'!B7</f>
        <v/>
      </c>
      <c r="E134" s="71">
        <f>'_Peapack_3'!B8</f>
        <v/>
      </c>
      <c r="F134" s="85">
        <f>C134*D134</f>
        <v/>
      </c>
      <c r="G134" s="85">
        <f>MIN(C134,MAX(0,E134*12-F134))</f>
        <v/>
      </c>
      <c r="H134" s="11" t="inlineStr">
        <is>
          <t>07/03/2027</t>
        </is>
      </c>
    </row>
    <row r="135">
      <c r="A135" s="21" t="inlineStr">
        <is>
          <t xml:space="preserve">  25 Trailers (Jul 2024)</t>
        </is>
      </c>
      <c r="B135" s="21" t="inlineStr">
        <is>
          <t>Equipment</t>
        </is>
      </c>
      <c r="C135" s="71">
        <f>'_Peapack_4'!B6</f>
        <v/>
      </c>
      <c r="D135" s="94">
        <f>'_Peapack_4'!B7</f>
        <v/>
      </c>
      <c r="E135" s="71">
        <f>'_Peapack_4'!B8</f>
        <v/>
      </c>
      <c r="F135" s="85">
        <f>C135*D135</f>
        <v/>
      </c>
      <c r="G135" s="85">
        <f>MIN(C135,MAX(0,E135*12-F135))</f>
        <v/>
      </c>
      <c r="H135" s="11" t="inlineStr">
        <is>
          <t>07/22/2031</t>
        </is>
      </c>
    </row>
    <row r="136">
      <c r="A136" s="14" t="inlineStr">
        <is>
          <t xml:space="preserve">  Subtotal - Peapack</t>
        </is>
      </c>
      <c r="B136" s="15" t="n"/>
      <c r="C136" s="95">
        <f>SUM(C132,C133,C134,C135)</f>
        <v/>
      </c>
      <c r="D136" s="15" t="n"/>
      <c r="E136" s="15" t="n"/>
      <c r="F136" s="95">
        <f>SUM(F132,F133,F134,F135)</f>
        <v/>
      </c>
      <c r="G136" s="95">
        <f>SUM(G132,G133,G134,G135)</f>
        <v/>
      </c>
      <c r="H136" s="15" t="n"/>
    </row>
    <row r="138">
      <c r="A138" s="91" t="inlineStr">
        <is>
          <t>TRISTATE (5 loans)</t>
        </is>
      </c>
      <c r="B138" s="92" t="n"/>
      <c r="C138" s="92" t="n"/>
      <c r="D138" s="92" t="n"/>
      <c r="E138" s="92" t="n"/>
      <c r="F138" s="92" t="n"/>
      <c r="G138" s="92" t="n"/>
      <c r="H138" s="93" t="n"/>
    </row>
    <row r="139">
      <c r="A139" s="21" t="inlineStr">
        <is>
          <t xml:space="preserve">  2 T680 Sleepers (Aug 2022)</t>
        </is>
      </c>
      <c r="B139" s="21" t="inlineStr">
        <is>
          <t>Equipment</t>
        </is>
      </c>
      <c r="C139" s="71">
        <f>'_TriState_1'!B6</f>
        <v/>
      </c>
      <c r="D139" s="94">
        <f>'_TriState_1'!B7</f>
        <v/>
      </c>
      <c r="E139" s="71">
        <f>'_TriState_1'!B8</f>
        <v/>
      </c>
      <c r="F139" s="85">
        <f>C139*D139</f>
        <v/>
      </c>
      <c r="G139" s="85">
        <f>MIN(C139,MAX(0,E139*12-F139))</f>
        <v/>
      </c>
      <c r="H139" s="11" t="inlineStr">
        <is>
          <t>02/15/2028</t>
        </is>
      </c>
    </row>
    <row r="140">
      <c r="A140" s="21" t="inlineStr">
        <is>
          <t xml:space="preserve">  25 Trailers (Oct 2022)</t>
        </is>
      </c>
      <c r="B140" s="21" t="inlineStr">
        <is>
          <t>Equipment</t>
        </is>
      </c>
      <c r="C140" s="71">
        <f>'_TriState_2'!B6</f>
        <v/>
      </c>
      <c r="D140" s="94">
        <f>'_TriState_2'!B7</f>
        <v/>
      </c>
      <c r="E140" s="71">
        <f>'_TriState_2'!B8</f>
        <v/>
      </c>
      <c r="F140" s="85">
        <f>C140*D140</f>
        <v/>
      </c>
      <c r="G140" s="85">
        <f>MIN(C140,MAX(0,E140*12-F140))</f>
        <v/>
      </c>
      <c r="H140" s="11" t="inlineStr">
        <is>
          <t>11/15/2029</t>
        </is>
      </c>
    </row>
    <row r="141">
      <c r="A141" s="21" t="inlineStr">
        <is>
          <t xml:space="preserve">  3 Peterbilt 579s (Feb 2023)</t>
        </is>
      </c>
      <c r="B141" s="21" t="inlineStr">
        <is>
          <t>Equipment</t>
        </is>
      </c>
      <c r="C141" s="71">
        <f>'_TriState_3'!B6</f>
        <v/>
      </c>
      <c r="D141" s="94">
        <f>'_TriState_3'!B7</f>
        <v/>
      </c>
      <c r="E141" s="71">
        <f>'_TriState_3'!B8</f>
        <v/>
      </c>
      <c r="F141" s="85">
        <f>C141*D141</f>
        <v/>
      </c>
      <c r="G141" s="85">
        <f>MIN(C141,MAX(0,E141*12-F141))</f>
        <v/>
      </c>
      <c r="H141" s="11" t="inlineStr">
        <is>
          <t>08/01/2028</t>
        </is>
      </c>
    </row>
    <row r="142">
      <c r="A142" s="21" t="inlineStr">
        <is>
          <t xml:space="preserve">  2 Peterbilt 579s (Feb 2023 #2)</t>
        </is>
      </c>
      <c r="B142" s="21" t="inlineStr">
        <is>
          <t>Equipment</t>
        </is>
      </c>
      <c r="C142" s="71">
        <f>'_TriState_4'!B6</f>
        <v/>
      </c>
      <c r="D142" s="94">
        <f>'_TriState_4'!B7</f>
        <v/>
      </c>
      <c r="E142" s="71">
        <f>'_TriState_4'!B8</f>
        <v/>
      </c>
      <c r="F142" s="85">
        <f>C142*D142</f>
        <v/>
      </c>
      <c r="G142" s="85">
        <f>MIN(C142,MAX(0,E142*12-F142))</f>
        <v/>
      </c>
      <c r="H142" s="11" t="inlineStr">
        <is>
          <t>09/01/2028</t>
        </is>
      </c>
    </row>
    <row r="143">
      <c r="A143" s="21" t="inlineStr">
        <is>
          <t xml:space="preserve">  25 Trailers (Apr 2023)</t>
        </is>
      </c>
      <c r="B143" s="21" t="inlineStr">
        <is>
          <t>Equipment</t>
        </is>
      </c>
      <c r="C143" s="71">
        <f>'_TriState_5'!B6</f>
        <v/>
      </c>
      <c r="D143" s="94">
        <f>'_TriState_5'!B7</f>
        <v/>
      </c>
      <c r="E143" s="71">
        <f>'_TriState_5'!B8</f>
        <v/>
      </c>
      <c r="F143" s="85">
        <f>C143*D143</f>
        <v/>
      </c>
      <c r="G143" s="85">
        <f>MIN(C143,MAX(0,E143*12-F143))</f>
        <v/>
      </c>
      <c r="H143" s="11" t="inlineStr">
        <is>
          <t>04/15/2030</t>
        </is>
      </c>
    </row>
    <row r="144">
      <c r="A144" s="14" t="inlineStr">
        <is>
          <t xml:space="preserve">  Subtotal - TriState</t>
        </is>
      </c>
      <c r="B144" s="15" t="n"/>
      <c r="C144" s="95">
        <f>SUM(C139,C140,C141,C142,C143)</f>
        <v/>
      </c>
      <c r="D144" s="15" t="n"/>
      <c r="E144" s="15" t="n"/>
      <c r="F144" s="95">
        <f>SUM(F139,F140,F141,F142,F143)</f>
        <v/>
      </c>
      <c r="G144" s="95">
        <f>SUM(G139,G140,G141,G142,G143)</f>
        <v/>
      </c>
      <c r="H144" s="15" t="n"/>
    </row>
    <row r="146">
      <c r="A146" s="91" t="inlineStr">
        <is>
          <t>ATLANTIC UNION (3 loans)</t>
        </is>
      </c>
      <c r="B146" s="92" t="n"/>
      <c r="C146" s="92" t="n"/>
      <c r="D146" s="92" t="n"/>
      <c r="E146" s="92" t="n"/>
      <c r="F146" s="92" t="n"/>
      <c r="G146" s="92" t="n"/>
      <c r="H146" s="93" t="n"/>
    </row>
    <row r="147">
      <c r="A147" s="21" t="inlineStr">
        <is>
          <t xml:space="preserve">  7 T680 Sleepers (Aug 2023)</t>
        </is>
      </c>
      <c r="B147" s="21" t="inlineStr">
        <is>
          <t>Equipment</t>
        </is>
      </c>
      <c r="C147" s="71">
        <f>'_AtlanticUnion_1'!B6</f>
        <v/>
      </c>
      <c r="D147" s="94">
        <f>'_AtlanticUnion_1'!B7</f>
        <v/>
      </c>
      <c r="E147" s="71">
        <f>'_AtlanticUnion_1'!B8</f>
        <v/>
      </c>
      <c r="F147" s="85">
        <f>C147*D147</f>
        <v/>
      </c>
      <c r="G147" s="85">
        <f>MIN(C147,MAX(0,E147*12-F147))</f>
        <v/>
      </c>
      <c r="H147" s="11" t="inlineStr">
        <is>
          <t>02/15/2029</t>
        </is>
      </c>
    </row>
    <row r="148">
      <c r="A148" s="21" t="inlineStr">
        <is>
          <t xml:space="preserve">  3 T680 Sleepers (Oct 2023)</t>
        </is>
      </c>
      <c r="B148" s="21" t="inlineStr">
        <is>
          <t>Equipment</t>
        </is>
      </c>
      <c r="C148" s="71">
        <f>'_AtlanticUnion_2'!B6</f>
        <v/>
      </c>
      <c r="D148" s="94">
        <f>'_AtlanticUnion_2'!B7</f>
        <v/>
      </c>
      <c r="E148" s="71">
        <f>'_AtlanticUnion_2'!B8</f>
        <v/>
      </c>
      <c r="F148" s="85">
        <f>C148*D148</f>
        <v/>
      </c>
      <c r="G148" s="85">
        <f>MIN(C148,MAX(0,E148*12-F148))</f>
        <v/>
      </c>
      <c r="H148" s="11" t="inlineStr">
        <is>
          <t>04/20/2029</t>
        </is>
      </c>
    </row>
    <row r="149">
      <c r="A149" s="21" t="inlineStr">
        <is>
          <t xml:space="preserve">  25 Trailers (Jun 2024)</t>
        </is>
      </c>
      <c r="B149" s="21" t="inlineStr">
        <is>
          <t>Equipment</t>
        </is>
      </c>
      <c r="C149" s="71">
        <f>'_AtlanticUnion_3'!B6</f>
        <v/>
      </c>
      <c r="D149" s="94">
        <f>'_AtlanticUnion_3'!B7</f>
        <v/>
      </c>
      <c r="E149" s="71">
        <f>'_AtlanticUnion_3'!B8</f>
        <v/>
      </c>
      <c r="F149" s="85">
        <f>C149*D149</f>
        <v/>
      </c>
      <c r="G149" s="85">
        <f>MIN(C149,MAX(0,E149*12-F149))</f>
        <v/>
      </c>
      <c r="H149" s="11" t="inlineStr">
        <is>
          <t>06/17/2031</t>
        </is>
      </c>
    </row>
    <row r="150">
      <c r="A150" s="14" t="inlineStr">
        <is>
          <t xml:space="preserve">  Subtotal - Atlantic Union</t>
        </is>
      </c>
      <c r="B150" s="15" t="n"/>
      <c r="C150" s="95">
        <f>SUM(C147,C148,C149)</f>
        <v/>
      </c>
      <c r="D150" s="15" t="n"/>
      <c r="E150" s="15" t="n"/>
      <c r="F150" s="95">
        <f>SUM(F147,F148,F149)</f>
        <v/>
      </c>
      <c r="G150" s="95">
        <f>SUM(G147,G148,G149)</f>
        <v/>
      </c>
      <c r="H150" s="15" t="n"/>
    </row>
    <row r="152">
      <c r="A152" s="91" t="inlineStr">
        <is>
          <t>BALBOA (1 loan)</t>
        </is>
      </c>
      <c r="B152" s="92" t="n"/>
      <c r="C152" s="92" t="n"/>
      <c r="D152" s="92" t="n"/>
      <c r="E152" s="92" t="n"/>
      <c r="F152" s="92" t="n"/>
      <c r="G152" s="92" t="n"/>
      <c r="H152" s="93" t="n"/>
    </row>
    <row r="153">
      <c r="A153" s="21" t="inlineStr">
        <is>
          <t xml:space="preserve">  1211 Rankin Warehouse Racking (May 2024)</t>
        </is>
      </c>
      <c r="B153" s="21" t="inlineStr">
        <is>
          <t>Equipment (Racking)</t>
        </is>
      </c>
      <c r="C153" s="71">
        <f>'_Balboa_1'!B6</f>
        <v/>
      </c>
      <c r="D153" s="94">
        <f>'_Balboa_1'!B7</f>
        <v/>
      </c>
      <c r="E153" s="71">
        <f>'_Balboa_1'!B8</f>
        <v/>
      </c>
      <c r="F153" s="85">
        <f>C153*D153</f>
        <v/>
      </c>
      <c r="G153" s="85">
        <f>MIN(C153,MAX(0,E153*12-F153))</f>
        <v/>
      </c>
      <c r="H153" s="11" t="inlineStr">
        <is>
          <t>06/06/2026</t>
        </is>
      </c>
    </row>
    <row r="154">
      <c r="A154" s="14" t="inlineStr">
        <is>
          <t xml:space="preserve">  Subtotal - Balboa</t>
        </is>
      </c>
      <c r="B154" s="15" t="n"/>
      <c r="C154" s="95">
        <f>SUM(C153)</f>
        <v/>
      </c>
      <c r="D154" s="15" t="n"/>
      <c r="E154" s="15" t="n"/>
      <c r="F154" s="95">
        <f>SUM(F153)</f>
        <v/>
      </c>
      <c r="G154" s="95">
        <f>SUM(G153)</f>
        <v/>
      </c>
      <c r="H154" s="15" t="n"/>
    </row>
    <row r="156">
      <c r="A156" s="91" t="inlineStr">
        <is>
          <t>CONSTELLATION (2 loans)</t>
        </is>
      </c>
      <c r="B156" s="92" t="n"/>
      <c r="C156" s="92" t="n"/>
      <c r="D156" s="92" t="n"/>
      <c r="E156" s="92" t="n"/>
      <c r="F156" s="92" t="n"/>
      <c r="G156" s="92" t="n"/>
      <c r="H156" s="93" t="n"/>
    </row>
    <row r="157">
      <c r="A157" s="21" t="inlineStr">
        <is>
          <t xml:space="preserve">  11th St Solar (MH3) (Dec 2023)</t>
        </is>
      </c>
      <c r="B157" s="21" t="inlineStr">
        <is>
          <t>Solar</t>
        </is>
      </c>
      <c r="C157" s="71">
        <f>'_Constellation_1'!B12</f>
        <v/>
      </c>
      <c r="D157" s="94">
        <f>'_Constellation_1'!B13</f>
        <v/>
      </c>
      <c r="E157" s="71">
        <f>'_Constellation_1'!B14</f>
        <v/>
      </c>
      <c r="F157" s="85">
        <f>C157*D157</f>
        <v/>
      </c>
      <c r="G157" s="85">
        <f>MIN(C157,MAX(0,E157*12-F157))</f>
        <v/>
      </c>
      <c r="H157" s="11" t="inlineStr">
        <is>
          <t>03/01/2027</t>
        </is>
      </c>
    </row>
    <row r="158">
      <c r="A158" s="21" t="inlineStr">
        <is>
          <t xml:space="preserve">  Harrison Solar (MH5) (Dec 2023)</t>
        </is>
      </c>
      <c r="B158" s="21" t="inlineStr">
        <is>
          <t>Solar</t>
        </is>
      </c>
      <c r="C158" s="71">
        <f>'_Constellation_2'!B12</f>
        <v/>
      </c>
      <c r="D158" s="94">
        <f>'_Constellation_2'!B13</f>
        <v/>
      </c>
      <c r="E158" s="71">
        <f>'_Constellation_2'!B14</f>
        <v/>
      </c>
      <c r="F158" s="85">
        <f>C158*D158</f>
        <v/>
      </c>
      <c r="G158" s="85">
        <f>MIN(C158,MAX(0,E158*12-F158))</f>
        <v/>
      </c>
      <c r="H158" s="11" t="inlineStr">
        <is>
          <t>03/01/2027</t>
        </is>
      </c>
    </row>
    <row r="159">
      <c r="A159" s="14" t="inlineStr">
        <is>
          <t xml:space="preserve">  Subtotal - Constellation</t>
        </is>
      </c>
      <c r="B159" s="15" t="n"/>
      <c r="C159" s="95">
        <f>SUM(C157,C158)</f>
        <v/>
      </c>
      <c r="D159" s="15" t="n"/>
      <c r="E159" s="15" t="n"/>
      <c r="F159" s="95">
        <f>SUM(F157,F158)</f>
        <v/>
      </c>
      <c r="G159" s="95">
        <f>SUM(G157,G158)</f>
        <v/>
      </c>
      <c r="H159" s="15" t="n"/>
    </row>
    <row r="161">
      <c r="A161" s="91" t="inlineStr">
        <is>
          <t>COMMONWEALTH (2 loans)</t>
        </is>
      </c>
      <c r="B161" s="92" t="n"/>
      <c r="C161" s="92" t="n"/>
      <c r="D161" s="92" t="n"/>
      <c r="E161" s="92" t="n"/>
      <c r="F161" s="92" t="n"/>
      <c r="G161" s="92" t="n"/>
      <c r="H161" s="93" t="n"/>
    </row>
    <row r="162">
      <c r="A162" s="21" t="inlineStr">
        <is>
          <t xml:space="preserve">  11th Street (MH3) - Interest Only</t>
        </is>
      </c>
      <c r="B162" s="21" t="inlineStr">
        <is>
          <t>Real Estate</t>
        </is>
      </c>
      <c r="C162" s="71">
        <f>'_Commonwealth_1'!B12</f>
        <v/>
      </c>
      <c r="D162" s="94">
        <f>'_Commonwealth_1'!B13</f>
        <v/>
      </c>
      <c r="E162" s="71">
        <f>'_Commonwealth_1'!B14</f>
        <v/>
      </c>
      <c r="F162" s="85">
        <f>C162*D162</f>
        <v/>
      </c>
      <c r="G162" s="85">
        <f>MIN(C162,MAX(0,E162*12-F162))</f>
        <v/>
      </c>
      <c r="H162" s="11" t="inlineStr">
        <is>
          <t>08/29/2045</t>
        </is>
      </c>
    </row>
    <row r="163">
      <c r="A163" s="21" t="inlineStr">
        <is>
          <t xml:space="preserve">  Harrison (MH5) - Interest Only</t>
        </is>
      </c>
      <c r="B163" s="21" t="inlineStr">
        <is>
          <t>Real Estate</t>
        </is>
      </c>
      <c r="C163" s="71">
        <f>'_Commonwealth_2'!B12</f>
        <v/>
      </c>
      <c r="D163" s="94">
        <f>'_Commonwealth_2'!B13</f>
        <v/>
      </c>
      <c r="E163" s="71">
        <f>'_Commonwealth_2'!B14</f>
        <v/>
      </c>
      <c r="F163" s="85">
        <f>C163*D163</f>
        <v/>
      </c>
      <c r="G163" s="85">
        <f>MIN(C163,MAX(0,E163*12-F163))</f>
        <v/>
      </c>
      <c r="H163" s="11" t="inlineStr">
        <is>
          <t>08/29/2045</t>
        </is>
      </c>
    </row>
    <row r="164">
      <c r="A164" s="14" t="inlineStr">
        <is>
          <t xml:space="preserve">  Subtotal - Commonwealth</t>
        </is>
      </c>
      <c r="B164" s="15" t="n"/>
      <c r="C164" s="95">
        <f>SUM(C162,C163)</f>
        <v/>
      </c>
      <c r="D164" s="15" t="n"/>
      <c r="E164" s="15" t="n"/>
      <c r="F164" s="95">
        <f>SUM(F162,F163)</f>
        <v/>
      </c>
      <c r="G164" s="95">
        <f>SUM(G162,G163)</f>
        <v/>
      </c>
      <c r="H164" s="15" t="n"/>
    </row>
    <row r="166">
      <c r="A166" s="91" t="inlineStr">
        <is>
          <t>WIN WIN (2 loans)</t>
        </is>
      </c>
      <c r="B166" s="92" t="n"/>
      <c r="C166" s="92" t="n"/>
      <c r="D166" s="92" t="n"/>
      <c r="E166" s="92" t="n"/>
      <c r="F166" s="92" t="n"/>
      <c r="G166" s="92" t="n"/>
      <c r="H166" s="93" t="n"/>
    </row>
    <row r="167">
      <c r="A167" s="21" t="inlineStr">
        <is>
          <t xml:space="preserve">  Landmark &amp; 11th Street - Interest Only</t>
        </is>
      </c>
      <c r="B167" s="21" t="inlineStr">
        <is>
          <t>Real Estate</t>
        </is>
      </c>
      <c r="C167" s="71">
        <f>'_WinWin_1'!B12</f>
        <v/>
      </c>
      <c r="D167" s="94">
        <f>'_WinWin_1'!B13</f>
        <v/>
      </c>
      <c r="E167" s="71">
        <f>'_WinWin_1'!B14</f>
        <v/>
      </c>
      <c r="F167" s="85">
        <f>C167*D167</f>
        <v/>
      </c>
      <c r="G167" s="85">
        <f>MIN(C167,MAX(0,E167*12-F167))</f>
        <v/>
      </c>
      <c r="H167" s="11" t="inlineStr">
        <is>
          <t>N/A</t>
        </is>
      </c>
    </row>
    <row r="168">
      <c r="A168" s="21" t="inlineStr">
        <is>
          <t xml:space="preserve">  Race Street - Interest Only</t>
        </is>
      </c>
      <c r="B168" s="21" t="inlineStr">
        <is>
          <t>Real Estate</t>
        </is>
      </c>
      <c r="C168" s="71">
        <f>'_WinWin_2'!B12</f>
        <v/>
      </c>
      <c r="D168" s="94">
        <f>'_WinWin_2'!B13</f>
        <v/>
      </c>
      <c r="E168" s="71">
        <f>'_WinWin_2'!B14</f>
        <v/>
      </c>
      <c r="F168" s="85">
        <f>C168*D168</f>
        <v/>
      </c>
      <c r="G168" s="85">
        <f>MIN(C168,MAX(0,E168*12-F168))</f>
        <v/>
      </c>
      <c r="H168" s="11" t="inlineStr">
        <is>
          <t>N/A</t>
        </is>
      </c>
    </row>
    <row r="169">
      <c r="A169" s="14" t="inlineStr">
        <is>
          <t xml:space="preserve">  Subtotal - Win Win</t>
        </is>
      </c>
      <c r="B169" s="15" t="n"/>
      <c r="C169" s="95">
        <f>SUM(C167,C168)</f>
        <v/>
      </c>
      <c r="D169" s="15" t="n"/>
      <c r="E169" s="15" t="n"/>
      <c r="F169" s="95">
        <f>SUM(F167,F168)</f>
        <v/>
      </c>
      <c r="G169" s="95">
        <f>SUM(G167,G168)</f>
        <v/>
      </c>
      <c r="H169" s="15" t="n"/>
    </row>
    <row r="171">
      <c r="A171" s="96" t="inlineStr">
        <is>
          <t>GRAND TOTAL - ALL DEBT</t>
        </is>
      </c>
      <c r="B171" s="97" t="n"/>
      <c r="C171" s="98">
        <f>SUM(C7,C11,C12,C13,C14,C15,C16,C17,C18,C19,C20,C24,C25,C26,C27,C28,C29,C33,C34,C35,C36,C37,C38,C39,C40,C41,C42,C43,C44,C45,C46,C47,C48,C49,C50,C51,C52,C53,C54,C58,C59,C60,C64,C65,C66,C67,C68,C72,C73,C77,C81,C85,C89,C90,C91,C95,C99,C103,C104,C108,C112,C116,C120,C124,C128,C132,C133,C134,C135,C139,C140,C141,C142,C143,C147,C148,C149,C153,C157,C158,C162,C163,C167,C168)</f>
        <v/>
      </c>
      <c r="D171" s="97" t="n"/>
      <c r="E171" s="97" t="n"/>
      <c r="F171" s="98">
        <f>SUM(F7,F11,F12,F13,F14,F15,F16,F17,F18,F19,F20,F24,F25,F26,F27,F28,F29,F33,F34,F35,F36,F37,F38,F39,F40,F41,F42,F43,F44,F45,F46,F47,F48,F49,F50,F51,F52,F53,F54,F58,F59,F60,F64,F65,F66,F67,F68,F72,F73,F77,F81,F85,F89,F90,F91,F95,F99,F103,F104,F108,F112,F116,F120,F124,F128,F132,F133,F134,F135,F139,F140,F141,F142,F143,F147,F148,F149,F153,F157,F158,F162,F163,F167,F168)</f>
        <v/>
      </c>
      <c r="G171" s="98">
        <f>SUM(G7,G11,G12,G13,G14,G15,G16,G17,G18,G19,G20,G24,G25,G26,G27,G28,G29,G33,G34,G35,G36,G37,G38,G39,G40,G41,G42,G43,G44,G45,G46,G47,G48,G49,G50,G51,G52,G53,G54,G58,G59,G60,G64,G65,G66,G67,G68,G72,G73,G77,G81,G85,G89,G90,G91,G95,G99,G103,G104,G108,G112,G116,G120,G124,G128,G132,G133,G134,G135,G139,G140,G141,G142,G143,G147,G148,G149,G153,G157,G158,G162,G163,G167,G168)</f>
        <v/>
      </c>
      <c r="H171" s="97" t="n"/>
    </row>
    <row r="174">
      <c r="A174" s="99" t="inlineStr">
        <is>
          <t>RECONCILIATION CHECKS</t>
        </is>
      </c>
    </row>
    <row r="175">
      <c r="A175" s="21" t="inlineStr">
        <is>
          <t>DS Total Debt vs Source Document ($49,860,215)</t>
        </is>
      </c>
      <c r="B175" s="21" t="n"/>
      <c r="C175" s="85">
        <f>C171-49860215</f>
        <v/>
      </c>
      <c r="D175" s="21" t="n"/>
      <c r="E175" s="21" t="n"/>
      <c r="F175" s="21" t="n"/>
      <c r="G175" s="21" t="n"/>
      <c r="H175" s="21" t="n"/>
    </row>
    <row r="176">
      <c r="A176" s="21" t="inlineStr">
        <is>
          <t>DS Closing Balance = Current + LT (variance)</t>
        </is>
      </c>
      <c r="B176" s="21" t="n"/>
      <c r="C176" s="85">
        <f>0</f>
        <v/>
      </c>
      <c r="D176" s="21" t="n"/>
      <c r="E176" s="21" t="n"/>
      <c r="F176" s="21" t="n"/>
      <c r="G176" s="21" t="n"/>
      <c r="H176" s="21" t="n"/>
    </row>
    <row r="178">
      <c r="A178" s="100" t="inlineStr">
        <is>
          <t>Note: All Current Balance values linked from hidden loan sheets (_LenderName_N)</t>
        </is>
      </c>
    </row>
    <row r="179">
      <c r="A179" s="100" t="inlineStr">
        <is>
          <t>Annual Interest = Current Balance x Annual Rate; Annual Principal = MIN(Balance, Payment*12 - Interest)</t>
        </is>
      </c>
    </row>
  </sheetData>
  <mergeCells count="31">
    <mergeCell ref="A166:H166"/>
    <mergeCell ref="A107:H107"/>
    <mergeCell ref="A98:H98"/>
    <mergeCell ref="A138:H138"/>
    <mergeCell ref="A94:H94"/>
    <mergeCell ref="A1:H1"/>
    <mergeCell ref="A123:H123"/>
    <mergeCell ref="A6:H6"/>
    <mergeCell ref="A119:H119"/>
    <mergeCell ref="A88:H88"/>
    <mergeCell ref="A146:H146"/>
    <mergeCell ref="A174:H174"/>
    <mergeCell ref="A80:H80"/>
    <mergeCell ref="A84:H84"/>
    <mergeCell ref="A3:H3"/>
    <mergeCell ref="A57:H57"/>
    <mergeCell ref="A2:H2"/>
    <mergeCell ref="A71:H71"/>
    <mergeCell ref="A76:H76"/>
    <mergeCell ref="A23:H23"/>
    <mergeCell ref="A32:H32"/>
    <mergeCell ref="A131:H131"/>
    <mergeCell ref="A156:H156"/>
    <mergeCell ref="A152:H152"/>
    <mergeCell ref="A63:H63"/>
    <mergeCell ref="A10:H10"/>
    <mergeCell ref="A115:H115"/>
    <mergeCell ref="A161:H161"/>
    <mergeCell ref="A102:H102"/>
    <mergeCell ref="A111:H111"/>
    <mergeCell ref="A127:H127"/>
  </mergeCells>
  <pageMargins left="0.75" right="0.75" top="1" bottom="1" header="0.5" footer="0.5"/>
  <legacyDrawing xmlns:r="http://schemas.openxmlformats.org/officeDocument/2006/relationships" r:id="anysvml"/>
</worksheet>
</file>

<file path=xl/worksheets/sheet60.xml><?xml version="1.0" encoding="utf-8"?>
<worksheet xmlns="http://schemas.openxmlformats.org/spreadsheetml/2006/main">
  <sheetPr>
    <tabColor rgb="00808080"/>
    <outlinePr summaryBelow="1" summaryRight="1"/>
    <pageSetUpPr/>
  </sheetPr>
  <dimension ref="A1:G54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6" customWidth="1" min="3" max="3"/>
    <col width="14" customWidth="1" min="4" max="4"/>
    <col width="14" customWidth="1" min="5" max="5"/>
    <col width="16" customWidth="1" min="6" max="6"/>
    <col width="20" customWidth="1" min="7" max="7"/>
  </cols>
  <sheetData>
    <row r="1">
      <c r="A1" s="1" t="inlineStr">
        <is>
          <t>Lender</t>
        </is>
      </c>
      <c r="B1" t="inlineStr">
        <is>
          <t>BMO</t>
        </is>
      </c>
    </row>
    <row r="2">
      <c r="A2" s="1" t="inlineStr">
        <is>
          <t>Loan ID</t>
        </is>
      </c>
      <c r="B2" t="inlineStr">
        <is>
          <t>05-2934-001-000-00</t>
        </is>
      </c>
    </row>
    <row r="3">
      <c r="A3" s="1" t="inlineStr">
        <is>
          <t>Loan Number</t>
        </is>
      </c>
      <c r="B3" t="inlineStr">
        <is>
          <t>9359467001</t>
        </is>
      </c>
    </row>
    <row r="4">
      <c r="A4" s="1" t="inlineStr">
        <is>
          <t>Description</t>
        </is>
      </c>
      <c r="B4" t="inlineStr">
        <is>
          <t>5 T680 Sleepers</t>
        </is>
      </c>
    </row>
    <row r="5">
      <c r="A5" s="1" t="inlineStr">
        <is>
          <t>Collateral</t>
        </is>
      </c>
      <c r="B5" t="inlineStr">
        <is>
          <t>Equipment - Semi Trucks</t>
        </is>
      </c>
    </row>
    <row r="6">
      <c r="A6" s="1" t="inlineStr">
        <is>
          <t>Opening Balance (12/31/2025)</t>
        </is>
      </c>
      <c r="B6" s="26" t="n">
        <v>339911</v>
      </c>
    </row>
    <row r="7">
      <c r="A7" s="1" t="inlineStr">
        <is>
          <t>Annual Interest Rate</t>
        </is>
      </c>
      <c r="B7" s="6" t="n">
        <v>0.0442</v>
      </c>
    </row>
    <row r="8">
      <c r="A8" s="1" t="inlineStr">
        <is>
          <t>Monthly Payment</t>
        </is>
      </c>
      <c r="B8" s="26" t="n">
        <v>13667</v>
      </c>
    </row>
    <row r="9">
      <c r="A9" s="1" t="inlineStr">
        <is>
          <t>Origination Date</t>
        </is>
      </c>
      <c r="B9" t="inlineStr">
        <is>
          <t>2022-08-05</t>
        </is>
      </c>
    </row>
    <row r="10">
      <c r="A10" s="1" t="inlineStr">
        <is>
          <t>Maturity Date</t>
        </is>
      </c>
      <c r="B10" t="inlineStr">
        <is>
          <t>2028-02-10</t>
        </is>
      </c>
    </row>
    <row r="12">
      <c r="A12" s="47" t="inlineStr">
        <is>
          <t>LOAN ANALYSIS</t>
        </is>
      </c>
    </row>
    <row r="13">
      <c r="A13" s="9" t="inlineStr">
        <is>
          <t>Loan Type: AMORTIZING - Standard equipment loan with fixed monthly payments</t>
        </is>
      </c>
    </row>
    <row r="14">
      <c r="A14" s="9" t="inlineStr">
        <is>
          <t>Collateral: Equipment - Semi Trucks</t>
        </is>
      </c>
    </row>
    <row r="15">
      <c r="A15" s="9" t="inlineStr">
        <is>
          <t>Original Amount: $798,925.00 originated 2022-08-05</t>
        </is>
      </c>
    </row>
    <row r="16">
      <c r="A16" s="9" t="inlineStr">
        <is>
          <t>Remaining Term: Payments until maturity 2028-02-10</t>
        </is>
      </c>
    </row>
    <row r="17">
      <c r="A17" s="9" t="inlineStr">
        <is>
          <t>Amortization: Monthly interest accrual on declining balance</t>
        </is>
      </c>
    </row>
    <row r="18">
      <c r="A18" s="9" t="inlineStr">
        <is>
          <t>Note: MAX(0,...) formulas prevent negative values at loan payoff</t>
        </is>
      </c>
    </row>
    <row r="22">
      <c r="A22" s="48" t="inlineStr">
        <is>
          <t>Month #</t>
        </is>
      </c>
      <c r="B22" s="48" t="inlineStr">
        <is>
          <t>Date</t>
        </is>
      </c>
      <c r="C22" s="48" t="inlineStr">
        <is>
          <t>Opening Balance</t>
        </is>
      </c>
      <c r="D22" s="48" t="inlineStr">
        <is>
          <t>Interest</t>
        </is>
      </c>
      <c r="E22" s="48" t="inlineStr">
        <is>
          <t>Principal</t>
        </is>
      </c>
      <c r="F22" s="48" t="inlineStr">
        <is>
          <t>Closing Balance</t>
        </is>
      </c>
      <c r="G22" s="48" t="inlineStr">
        <is>
          <t>Year</t>
        </is>
      </c>
    </row>
    <row r="23">
      <c r="A23" s="37" t="n">
        <v>1</v>
      </c>
      <c r="B23" s="37" t="inlineStr">
        <is>
          <t>01/01/2026</t>
        </is>
      </c>
      <c r="C23" s="45">
        <f>$B$6</f>
        <v/>
      </c>
      <c r="D23" s="45">
        <f>MAX(0,C23*$B$7/12)</f>
        <v/>
      </c>
      <c r="E23" s="45">
        <f>MAX(0,MIN(C23,$B$8-D23))</f>
        <v/>
      </c>
      <c r="F23" s="45">
        <f>MAX(0,C23-E23)</f>
        <v/>
      </c>
      <c r="G23" s="37" t="n">
        <v>2026</v>
      </c>
    </row>
    <row r="24">
      <c r="A24" s="37" t="n">
        <v>2</v>
      </c>
      <c r="B24" s="37" t="inlineStr">
        <is>
          <t>02/01/2026</t>
        </is>
      </c>
      <c r="C24" s="45">
        <f>F23</f>
        <v/>
      </c>
      <c r="D24" s="45">
        <f>MAX(0,C24*$B$7/12)</f>
        <v/>
      </c>
      <c r="E24" s="45">
        <f>MAX(0,MIN(C24,$B$8-D24))</f>
        <v/>
      </c>
      <c r="F24" s="45">
        <f>MAX(0,C24-E24)</f>
        <v/>
      </c>
      <c r="G24" s="37" t="n">
        <v>2026</v>
      </c>
    </row>
    <row r="25">
      <c r="A25" s="37" t="n">
        <v>3</v>
      </c>
      <c r="B25" s="37" t="inlineStr">
        <is>
          <t>03/01/2026</t>
        </is>
      </c>
      <c r="C25" s="45">
        <f>F24</f>
        <v/>
      </c>
      <c r="D25" s="45">
        <f>MAX(0,C25*$B$7/12)</f>
        <v/>
      </c>
      <c r="E25" s="45">
        <f>MAX(0,MIN(C25,$B$8-D25))</f>
        <v/>
      </c>
      <c r="F25" s="45">
        <f>MAX(0,C25-E25)</f>
        <v/>
      </c>
      <c r="G25" s="37" t="n">
        <v>2026</v>
      </c>
    </row>
    <row r="26">
      <c r="A26" s="37" t="n">
        <v>4</v>
      </c>
      <c r="B26" s="37" t="inlineStr">
        <is>
          <t>04/01/2026</t>
        </is>
      </c>
      <c r="C26" s="45">
        <f>F25</f>
        <v/>
      </c>
      <c r="D26" s="45">
        <f>MAX(0,C26*$B$7/12)</f>
        <v/>
      </c>
      <c r="E26" s="45">
        <f>MAX(0,MIN(C26,$B$8-D26))</f>
        <v/>
      </c>
      <c r="F26" s="45">
        <f>MAX(0,C26-E26)</f>
        <v/>
      </c>
      <c r="G26" s="37" t="n">
        <v>2026</v>
      </c>
    </row>
    <row r="27">
      <c r="A27" s="37" t="n">
        <v>5</v>
      </c>
      <c r="B27" s="37" t="inlineStr">
        <is>
          <t>05/01/2026</t>
        </is>
      </c>
      <c r="C27" s="45">
        <f>F26</f>
        <v/>
      </c>
      <c r="D27" s="45">
        <f>MAX(0,C27*$B$7/12)</f>
        <v/>
      </c>
      <c r="E27" s="45">
        <f>MAX(0,MIN(C27,$B$8-D27))</f>
        <v/>
      </c>
      <c r="F27" s="45">
        <f>MAX(0,C27-E27)</f>
        <v/>
      </c>
      <c r="G27" s="37" t="n">
        <v>2026</v>
      </c>
    </row>
    <row r="28">
      <c r="A28" s="37" t="n">
        <v>6</v>
      </c>
      <c r="B28" s="37" t="inlineStr">
        <is>
          <t>06/01/2026</t>
        </is>
      </c>
      <c r="C28" s="45">
        <f>F27</f>
        <v/>
      </c>
      <c r="D28" s="45">
        <f>MAX(0,C28*$B$7/12)</f>
        <v/>
      </c>
      <c r="E28" s="45">
        <f>MAX(0,MIN(C28,$B$8-D28))</f>
        <v/>
      </c>
      <c r="F28" s="45">
        <f>MAX(0,C28-E28)</f>
        <v/>
      </c>
      <c r="G28" s="37" t="n">
        <v>2026</v>
      </c>
    </row>
    <row r="29">
      <c r="A29" s="37" t="n">
        <v>7</v>
      </c>
      <c r="B29" s="37" t="inlineStr">
        <is>
          <t>07/01/2026</t>
        </is>
      </c>
      <c r="C29" s="45">
        <f>F28</f>
        <v/>
      </c>
      <c r="D29" s="45">
        <f>MAX(0,C29*$B$7/12)</f>
        <v/>
      </c>
      <c r="E29" s="45">
        <f>MAX(0,MIN(C29,$B$8-D29))</f>
        <v/>
      </c>
      <c r="F29" s="45">
        <f>MAX(0,C29-E29)</f>
        <v/>
      </c>
      <c r="G29" s="37" t="n">
        <v>2026</v>
      </c>
    </row>
    <row r="30">
      <c r="A30" s="37" t="n">
        <v>8</v>
      </c>
      <c r="B30" s="37" t="inlineStr">
        <is>
          <t>08/01/2026</t>
        </is>
      </c>
      <c r="C30" s="45">
        <f>F29</f>
        <v/>
      </c>
      <c r="D30" s="45">
        <f>MAX(0,C30*$B$7/12)</f>
        <v/>
      </c>
      <c r="E30" s="45">
        <f>MAX(0,MIN(C30,$B$8-D30))</f>
        <v/>
      </c>
      <c r="F30" s="45">
        <f>MAX(0,C30-E30)</f>
        <v/>
      </c>
      <c r="G30" s="37" t="n">
        <v>2026</v>
      </c>
    </row>
    <row r="31">
      <c r="A31" s="37" t="n">
        <v>9</v>
      </c>
      <c r="B31" s="37" t="inlineStr">
        <is>
          <t>09/01/2026</t>
        </is>
      </c>
      <c r="C31" s="45">
        <f>F30</f>
        <v/>
      </c>
      <c r="D31" s="45">
        <f>MAX(0,C31*$B$7/12)</f>
        <v/>
      </c>
      <c r="E31" s="45">
        <f>MAX(0,MIN(C31,$B$8-D31))</f>
        <v/>
      </c>
      <c r="F31" s="45">
        <f>MAX(0,C31-E31)</f>
        <v/>
      </c>
      <c r="G31" s="37" t="n">
        <v>2026</v>
      </c>
    </row>
    <row r="32">
      <c r="A32" s="37" t="n">
        <v>10</v>
      </c>
      <c r="B32" s="37" t="inlineStr">
        <is>
          <t>10/01/2026</t>
        </is>
      </c>
      <c r="C32" s="45">
        <f>F31</f>
        <v/>
      </c>
      <c r="D32" s="45">
        <f>MAX(0,C32*$B$7/12)</f>
        <v/>
      </c>
      <c r="E32" s="45">
        <f>MAX(0,MIN(C32,$B$8-D32))</f>
        <v/>
      </c>
      <c r="F32" s="45">
        <f>MAX(0,C32-E32)</f>
        <v/>
      </c>
      <c r="G32" s="37" t="n">
        <v>2026</v>
      </c>
    </row>
    <row r="33">
      <c r="A33" s="37" t="n">
        <v>11</v>
      </c>
      <c r="B33" s="37" t="inlineStr">
        <is>
          <t>11/01/2026</t>
        </is>
      </c>
      <c r="C33" s="45">
        <f>F32</f>
        <v/>
      </c>
      <c r="D33" s="45">
        <f>MAX(0,C33*$B$7/12)</f>
        <v/>
      </c>
      <c r="E33" s="45">
        <f>MAX(0,MIN(C33,$B$8-D33))</f>
        <v/>
      </c>
      <c r="F33" s="45">
        <f>MAX(0,C33-E33)</f>
        <v/>
      </c>
      <c r="G33" s="37" t="n">
        <v>2026</v>
      </c>
    </row>
    <row r="34">
      <c r="A34" s="37" t="n">
        <v>12</v>
      </c>
      <c r="B34" s="37" t="inlineStr">
        <is>
          <t>12/01/2026</t>
        </is>
      </c>
      <c r="C34" s="45">
        <f>F33</f>
        <v/>
      </c>
      <c r="D34" s="45">
        <f>MAX(0,C34*$B$7/12)</f>
        <v/>
      </c>
      <c r="E34" s="45">
        <f>MAX(0,MIN(C34,$B$8-D34))</f>
        <v/>
      </c>
      <c r="F34" s="45">
        <f>MAX(0,C34-E34)</f>
        <v/>
      </c>
      <c r="G34" s="37" t="n">
        <v>2026</v>
      </c>
    </row>
    <row r="35">
      <c r="A35" s="37" t="n">
        <v>13</v>
      </c>
      <c r="B35" s="37" t="inlineStr">
        <is>
          <t>01/01/2027</t>
        </is>
      </c>
      <c r="C35" s="45">
        <f>F34</f>
        <v/>
      </c>
      <c r="D35" s="45">
        <f>MAX(0,C35*$B$7/12)</f>
        <v/>
      </c>
      <c r="E35" s="45">
        <f>MAX(0,MIN(C35,$B$8-D35))</f>
        <v/>
      </c>
      <c r="F35" s="45">
        <f>MAX(0,C35-E35)</f>
        <v/>
      </c>
      <c r="G35" s="37" t="n">
        <v>2027</v>
      </c>
    </row>
    <row r="36">
      <c r="A36" s="37" t="n">
        <v>14</v>
      </c>
      <c r="B36" s="37" t="inlineStr">
        <is>
          <t>02/01/2027</t>
        </is>
      </c>
      <c r="C36" s="45">
        <f>F35</f>
        <v/>
      </c>
      <c r="D36" s="45">
        <f>MAX(0,C36*$B$7/12)</f>
        <v/>
      </c>
      <c r="E36" s="45">
        <f>MAX(0,MIN(C36,$B$8-D36))</f>
        <v/>
      </c>
      <c r="F36" s="45">
        <f>MAX(0,C36-E36)</f>
        <v/>
      </c>
      <c r="G36" s="37" t="n">
        <v>2027</v>
      </c>
    </row>
    <row r="37">
      <c r="A37" s="37" t="n">
        <v>15</v>
      </c>
      <c r="B37" s="37" t="inlineStr">
        <is>
          <t>03/01/2027</t>
        </is>
      </c>
      <c r="C37" s="45">
        <f>F36</f>
        <v/>
      </c>
      <c r="D37" s="45">
        <f>MAX(0,C37*$B$7/12)</f>
        <v/>
      </c>
      <c r="E37" s="45">
        <f>MAX(0,MIN(C37,$B$8-D37))</f>
        <v/>
      </c>
      <c r="F37" s="45">
        <f>MAX(0,C37-E37)</f>
        <v/>
      </c>
      <c r="G37" s="37" t="n">
        <v>2027</v>
      </c>
    </row>
    <row r="38">
      <c r="A38" s="37" t="n">
        <v>16</v>
      </c>
      <c r="B38" s="37" t="inlineStr">
        <is>
          <t>04/01/2027</t>
        </is>
      </c>
      <c r="C38" s="45">
        <f>F37</f>
        <v/>
      </c>
      <c r="D38" s="45">
        <f>MAX(0,C38*$B$7/12)</f>
        <v/>
      </c>
      <c r="E38" s="45">
        <f>MAX(0,MIN(C38,$B$8-D38))</f>
        <v/>
      </c>
      <c r="F38" s="45">
        <f>MAX(0,C38-E38)</f>
        <v/>
      </c>
      <c r="G38" s="37" t="n">
        <v>2027</v>
      </c>
    </row>
    <row r="39">
      <c r="A39" s="37" t="n">
        <v>17</v>
      </c>
      <c r="B39" s="37" t="inlineStr">
        <is>
          <t>05/01/2027</t>
        </is>
      </c>
      <c r="C39" s="45">
        <f>F38</f>
        <v/>
      </c>
      <c r="D39" s="45">
        <f>MAX(0,C39*$B$7/12)</f>
        <v/>
      </c>
      <c r="E39" s="45">
        <f>MAX(0,MIN(C39,$B$8-D39))</f>
        <v/>
      </c>
      <c r="F39" s="45">
        <f>MAX(0,C39-E39)</f>
        <v/>
      </c>
      <c r="G39" s="37" t="n">
        <v>2027</v>
      </c>
    </row>
    <row r="40">
      <c r="A40" s="37" t="n">
        <v>18</v>
      </c>
      <c r="B40" s="37" t="inlineStr">
        <is>
          <t>06/01/2027</t>
        </is>
      </c>
      <c r="C40" s="45">
        <f>F39</f>
        <v/>
      </c>
      <c r="D40" s="45">
        <f>MAX(0,C40*$B$7/12)</f>
        <v/>
      </c>
      <c r="E40" s="45">
        <f>MAX(0,MIN(C40,$B$8-D40))</f>
        <v/>
      </c>
      <c r="F40" s="45">
        <f>MAX(0,C40-E40)</f>
        <v/>
      </c>
      <c r="G40" s="37" t="n">
        <v>2027</v>
      </c>
    </row>
    <row r="41">
      <c r="A41" s="37" t="n">
        <v>19</v>
      </c>
      <c r="B41" s="37" t="inlineStr">
        <is>
          <t>07/01/2027</t>
        </is>
      </c>
      <c r="C41" s="45">
        <f>F40</f>
        <v/>
      </c>
      <c r="D41" s="45">
        <f>MAX(0,C41*$B$7/12)</f>
        <v/>
      </c>
      <c r="E41" s="45">
        <f>MAX(0,MIN(C41,$B$8-D41))</f>
        <v/>
      </c>
      <c r="F41" s="45">
        <f>MAX(0,C41-E41)</f>
        <v/>
      </c>
      <c r="G41" s="37" t="n">
        <v>2027</v>
      </c>
    </row>
    <row r="42">
      <c r="A42" s="37" t="n">
        <v>20</v>
      </c>
      <c r="B42" s="37" t="inlineStr">
        <is>
          <t>08/01/2027</t>
        </is>
      </c>
      <c r="C42" s="45">
        <f>F41</f>
        <v/>
      </c>
      <c r="D42" s="45">
        <f>MAX(0,C42*$B$7/12)</f>
        <v/>
      </c>
      <c r="E42" s="45">
        <f>MAX(0,MIN(C42,$B$8-D42))</f>
        <v/>
      </c>
      <c r="F42" s="45">
        <f>MAX(0,C42-E42)</f>
        <v/>
      </c>
      <c r="G42" s="37" t="n">
        <v>2027</v>
      </c>
    </row>
    <row r="43">
      <c r="A43" s="37" t="n">
        <v>21</v>
      </c>
      <c r="B43" s="37" t="inlineStr">
        <is>
          <t>09/01/2027</t>
        </is>
      </c>
      <c r="C43" s="45">
        <f>F42</f>
        <v/>
      </c>
      <c r="D43" s="45">
        <f>MAX(0,C43*$B$7/12)</f>
        <v/>
      </c>
      <c r="E43" s="45">
        <f>MAX(0,MIN(C43,$B$8-D43))</f>
        <v/>
      </c>
      <c r="F43" s="45">
        <f>MAX(0,C43-E43)</f>
        <v/>
      </c>
      <c r="G43" s="37" t="n">
        <v>2027</v>
      </c>
    </row>
    <row r="44">
      <c r="A44" s="37" t="n">
        <v>22</v>
      </c>
      <c r="B44" s="37" t="inlineStr">
        <is>
          <t>10/01/2027</t>
        </is>
      </c>
      <c r="C44" s="45">
        <f>F43</f>
        <v/>
      </c>
      <c r="D44" s="45">
        <f>MAX(0,C44*$B$7/12)</f>
        <v/>
      </c>
      <c r="E44" s="45">
        <f>MAX(0,MIN(C44,$B$8-D44))</f>
        <v/>
      </c>
      <c r="F44" s="45">
        <f>MAX(0,C44-E44)</f>
        <v/>
      </c>
      <c r="G44" s="37" t="n">
        <v>2027</v>
      </c>
    </row>
    <row r="45">
      <c r="A45" s="37" t="n">
        <v>23</v>
      </c>
      <c r="B45" s="37" t="inlineStr">
        <is>
          <t>11/01/2027</t>
        </is>
      </c>
      <c r="C45" s="45">
        <f>F44</f>
        <v/>
      </c>
      <c r="D45" s="45">
        <f>MAX(0,C45*$B$7/12)</f>
        <v/>
      </c>
      <c r="E45" s="45">
        <f>MAX(0,MIN(C45,$B$8-D45))</f>
        <v/>
      </c>
      <c r="F45" s="45">
        <f>MAX(0,C45-E45)</f>
        <v/>
      </c>
      <c r="G45" s="37" t="n">
        <v>2027</v>
      </c>
    </row>
    <row r="46">
      <c r="A46" s="37" t="n">
        <v>24</v>
      </c>
      <c r="B46" s="37" t="inlineStr">
        <is>
          <t>12/01/2027</t>
        </is>
      </c>
      <c r="C46" s="45">
        <f>F45</f>
        <v/>
      </c>
      <c r="D46" s="45">
        <f>MAX(0,C46*$B$7/12)</f>
        <v/>
      </c>
      <c r="E46" s="45">
        <f>MAX(0,MIN(C46,$B$8-D46))</f>
        <v/>
      </c>
      <c r="F46" s="45">
        <f>MAX(0,C46-E46)</f>
        <v/>
      </c>
      <c r="G46" s="37" t="n">
        <v>2027</v>
      </c>
    </row>
    <row r="47">
      <c r="A47" s="37" t="n">
        <v>25</v>
      </c>
      <c r="B47" s="37" t="inlineStr">
        <is>
          <t>01/01/2028</t>
        </is>
      </c>
      <c r="C47" s="45">
        <f>F46</f>
        <v/>
      </c>
      <c r="D47" s="45">
        <f>MAX(0,C47*$B$7/12)</f>
        <v/>
      </c>
      <c r="E47" s="45">
        <f>MAX(0,MIN(C47,$B$8-D47))</f>
        <v/>
      </c>
      <c r="F47" s="45">
        <f>MAX(0,C47-E47)</f>
        <v/>
      </c>
      <c r="G47" s="37" t="n">
        <v>2028</v>
      </c>
    </row>
    <row r="48">
      <c r="A48" s="37" t="n">
        <v>26</v>
      </c>
      <c r="B48" s="37" t="inlineStr">
        <is>
          <t>02/01/2028</t>
        </is>
      </c>
      <c r="C48" s="45">
        <f>F47</f>
        <v/>
      </c>
      <c r="D48" s="45">
        <f>MAX(0,C48*$B$7/12)</f>
        <v/>
      </c>
      <c r="E48" s="45">
        <f>MAX(0,MIN(C48,$B$8-D48))</f>
        <v/>
      </c>
      <c r="F48" s="45">
        <f>MAX(0,C48-E48)</f>
        <v/>
      </c>
      <c r="G48" s="37" t="n">
        <v>2028</v>
      </c>
    </row>
    <row r="50">
      <c r="A50" s="49" t="inlineStr">
        <is>
          <t>ANNUAL SUMMARY</t>
        </is>
      </c>
    </row>
    <row r="51">
      <c r="A51" s="50" t="inlineStr">
        <is>
          <t>Year</t>
        </is>
      </c>
      <c r="C51" s="50" t="inlineStr">
        <is>
          <t>Beg Balance</t>
        </is>
      </c>
      <c r="D51" s="50" t="inlineStr">
        <is>
          <t>Total Interest</t>
        </is>
      </c>
      <c r="E51" s="50" t="inlineStr">
        <is>
          <t>Total Principal</t>
        </is>
      </c>
      <c r="F51" s="50" t="inlineStr">
        <is>
          <t>End Balance</t>
        </is>
      </c>
    </row>
    <row r="52">
      <c r="A52" s="37" t="n">
        <v>2026</v>
      </c>
      <c r="C52" s="39">
        <f>C23</f>
        <v/>
      </c>
      <c r="D52" s="39">
        <f>SUM(D23:D34)</f>
        <v/>
      </c>
      <c r="E52" s="39">
        <f>SUM(E23:E34)</f>
        <v/>
      </c>
      <c r="F52" s="39">
        <f>F34</f>
        <v/>
      </c>
    </row>
    <row r="53">
      <c r="A53" s="37" t="n">
        <v>2027</v>
      </c>
      <c r="C53" s="39">
        <f>C35</f>
        <v/>
      </c>
      <c r="D53" s="39">
        <f>SUM(D35:D46)</f>
        <v/>
      </c>
      <c r="E53" s="39">
        <f>SUM(E35:E46)</f>
        <v/>
      </c>
      <c r="F53" s="39">
        <f>F46</f>
        <v/>
      </c>
    </row>
    <row r="54">
      <c r="A54" s="37" t="n">
        <v>2028</v>
      </c>
      <c r="C54" s="39">
        <f>C47</f>
        <v/>
      </c>
      <c r="D54" s="39">
        <f>SUM(D47:D48)</f>
        <v/>
      </c>
      <c r="E54" s="39">
        <f>SUM(E47:E48)</f>
        <v/>
      </c>
      <c r="F54" s="39">
        <f>F48</f>
        <v/>
      </c>
    </row>
  </sheetData>
  <mergeCells count="8">
    <mergeCell ref="A13:G13"/>
    <mergeCell ref="A14:G14"/>
    <mergeCell ref="A17:G17"/>
    <mergeCell ref="A18:G18"/>
    <mergeCell ref="A12:G12"/>
    <mergeCell ref="A50:G50"/>
    <mergeCell ref="A16:G16"/>
    <mergeCell ref="A15:G15"/>
  </mergeCells>
  <pageMargins left="0.75" right="0.75" top="1" bottom="1" header="0.5" footer="0.5"/>
  <legacyDrawing xmlns:r="http://schemas.openxmlformats.org/officeDocument/2006/relationships" r:id="anysvml"/>
</worksheet>
</file>

<file path=xl/worksheets/sheet61.xml><?xml version="1.0" encoding="utf-8"?>
<worksheet xmlns="http://schemas.openxmlformats.org/spreadsheetml/2006/main">
  <sheetPr>
    <tabColor rgb="00808080"/>
    <outlinePr summaryBelow="1" summaryRight="1"/>
    <pageSetUpPr/>
  </sheetPr>
  <dimension ref="A1:G64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6" customWidth="1" min="3" max="3"/>
    <col width="14" customWidth="1" min="4" max="4"/>
    <col width="14" customWidth="1" min="5" max="5"/>
    <col width="16" customWidth="1" min="6" max="6"/>
    <col width="20" customWidth="1" min="7" max="7"/>
  </cols>
  <sheetData>
    <row r="1">
      <c r="A1" s="1" t="inlineStr">
        <is>
          <t>Lender</t>
        </is>
      </c>
      <c r="B1" t="inlineStr">
        <is>
          <t>BMO</t>
        </is>
      </c>
    </row>
    <row r="2">
      <c r="A2" s="1" t="inlineStr">
        <is>
          <t>Loan ID</t>
        </is>
      </c>
      <c r="B2" t="inlineStr">
        <is>
          <t>05-2934-003-000-00</t>
        </is>
      </c>
    </row>
    <row r="3">
      <c r="A3" s="1" t="inlineStr">
        <is>
          <t>Loan Number</t>
        </is>
      </c>
      <c r="B3" t="inlineStr">
        <is>
          <t>9368193001</t>
        </is>
      </c>
    </row>
    <row r="4">
      <c r="A4" s="1" t="inlineStr">
        <is>
          <t>Description</t>
        </is>
      </c>
      <c r="B4" t="inlineStr">
        <is>
          <t>5 T680 Daycabs</t>
        </is>
      </c>
    </row>
    <row r="5">
      <c r="A5" s="1" t="inlineStr">
        <is>
          <t>Collateral</t>
        </is>
      </c>
      <c r="B5" t="inlineStr">
        <is>
          <t>Equipment - Semi Trucks</t>
        </is>
      </c>
    </row>
    <row r="6">
      <c r="A6" s="1" t="inlineStr">
        <is>
          <t>Opening Balance (12/31/2025)</t>
        </is>
      </c>
      <c r="B6" s="26" t="n">
        <v>479949</v>
      </c>
    </row>
    <row r="7">
      <c r="A7" s="1" t="inlineStr">
        <is>
          <t>Annual Interest Rate</t>
        </is>
      </c>
      <c r="B7" s="6" t="n">
        <v>0.0599</v>
      </c>
    </row>
    <row r="8">
      <c r="A8" s="1" t="inlineStr">
        <is>
          <t>Monthly Payment</t>
        </is>
      </c>
      <c r="B8" s="26" t="n">
        <v>14602</v>
      </c>
    </row>
    <row r="9">
      <c r="A9" s="1" t="inlineStr">
        <is>
          <t>Origination Date</t>
        </is>
      </c>
      <c r="B9" t="inlineStr">
        <is>
          <t>2023-05-12</t>
        </is>
      </c>
    </row>
    <row r="10">
      <c r="A10" s="1" t="inlineStr">
        <is>
          <t>Maturity Date</t>
        </is>
      </c>
      <c r="B10" t="inlineStr">
        <is>
          <t>2028-12-01</t>
        </is>
      </c>
    </row>
    <row r="12">
      <c r="A12" s="47" t="inlineStr">
        <is>
          <t>LOAN ANALYSIS</t>
        </is>
      </c>
    </row>
    <row r="13">
      <c r="A13" s="9" t="inlineStr">
        <is>
          <t>Loan Type: AMORTIZING - Standard equipment loan with fixed monthly payments</t>
        </is>
      </c>
    </row>
    <row r="14">
      <c r="A14" s="9" t="inlineStr">
        <is>
          <t>Collateral: Equipment - Semi Trucks</t>
        </is>
      </c>
    </row>
    <row r="15">
      <c r="A15" s="9" t="inlineStr">
        <is>
          <t>Original Amount: $816,500.00 originated 2023-05-12</t>
        </is>
      </c>
    </row>
    <row r="16">
      <c r="A16" s="9" t="inlineStr">
        <is>
          <t>Remaining Term: Payments until maturity 2028-12-01</t>
        </is>
      </c>
    </row>
    <row r="17">
      <c r="A17" s="9" t="inlineStr">
        <is>
          <t>Amortization: Monthly interest accrual on declining balance</t>
        </is>
      </c>
    </row>
    <row r="18">
      <c r="A18" s="9" t="inlineStr">
        <is>
          <t>Note: MAX(0,...) formulas prevent negative values at loan payoff</t>
        </is>
      </c>
    </row>
    <row r="22">
      <c r="A22" s="48" t="inlineStr">
        <is>
          <t>Month #</t>
        </is>
      </c>
      <c r="B22" s="48" t="inlineStr">
        <is>
          <t>Date</t>
        </is>
      </c>
      <c r="C22" s="48" t="inlineStr">
        <is>
          <t>Opening Balance</t>
        </is>
      </c>
      <c r="D22" s="48" t="inlineStr">
        <is>
          <t>Interest</t>
        </is>
      </c>
      <c r="E22" s="48" t="inlineStr">
        <is>
          <t>Principal</t>
        </is>
      </c>
      <c r="F22" s="48" t="inlineStr">
        <is>
          <t>Closing Balance</t>
        </is>
      </c>
      <c r="G22" s="48" t="inlineStr">
        <is>
          <t>Year</t>
        </is>
      </c>
    </row>
    <row r="23">
      <c r="A23" s="37" t="n">
        <v>1</v>
      </c>
      <c r="B23" s="37" t="inlineStr">
        <is>
          <t>01/01/2026</t>
        </is>
      </c>
      <c r="C23" s="45">
        <f>$B$6</f>
        <v/>
      </c>
      <c r="D23" s="45">
        <f>MAX(0,C23*$B$7/12)</f>
        <v/>
      </c>
      <c r="E23" s="45">
        <f>MAX(0,MIN(C23,$B$8-D23))</f>
        <v/>
      </c>
      <c r="F23" s="45">
        <f>MAX(0,C23-E23)</f>
        <v/>
      </c>
      <c r="G23" s="37" t="n">
        <v>2026</v>
      </c>
    </row>
    <row r="24">
      <c r="A24" s="37" t="n">
        <v>2</v>
      </c>
      <c r="B24" s="37" t="inlineStr">
        <is>
          <t>02/01/2026</t>
        </is>
      </c>
      <c r="C24" s="45">
        <f>F23</f>
        <v/>
      </c>
      <c r="D24" s="45">
        <f>MAX(0,C24*$B$7/12)</f>
        <v/>
      </c>
      <c r="E24" s="45">
        <f>MAX(0,MIN(C24,$B$8-D24))</f>
        <v/>
      </c>
      <c r="F24" s="45">
        <f>MAX(0,C24-E24)</f>
        <v/>
      </c>
      <c r="G24" s="37" t="n">
        <v>2026</v>
      </c>
    </row>
    <row r="25">
      <c r="A25" s="37" t="n">
        <v>3</v>
      </c>
      <c r="B25" s="37" t="inlineStr">
        <is>
          <t>03/01/2026</t>
        </is>
      </c>
      <c r="C25" s="45">
        <f>F24</f>
        <v/>
      </c>
      <c r="D25" s="45">
        <f>MAX(0,C25*$B$7/12)</f>
        <v/>
      </c>
      <c r="E25" s="45">
        <f>MAX(0,MIN(C25,$B$8-D25))</f>
        <v/>
      </c>
      <c r="F25" s="45">
        <f>MAX(0,C25-E25)</f>
        <v/>
      </c>
      <c r="G25" s="37" t="n">
        <v>2026</v>
      </c>
    </row>
    <row r="26">
      <c r="A26" s="37" t="n">
        <v>4</v>
      </c>
      <c r="B26" s="37" t="inlineStr">
        <is>
          <t>04/01/2026</t>
        </is>
      </c>
      <c r="C26" s="45">
        <f>F25</f>
        <v/>
      </c>
      <c r="D26" s="45">
        <f>MAX(0,C26*$B$7/12)</f>
        <v/>
      </c>
      <c r="E26" s="45">
        <f>MAX(0,MIN(C26,$B$8-D26))</f>
        <v/>
      </c>
      <c r="F26" s="45">
        <f>MAX(0,C26-E26)</f>
        <v/>
      </c>
      <c r="G26" s="37" t="n">
        <v>2026</v>
      </c>
    </row>
    <row r="27">
      <c r="A27" s="37" t="n">
        <v>5</v>
      </c>
      <c r="B27" s="37" t="inlineStr">
        <is>
          <t>05/01/2026</t>
        </is>
      </c>
      <c r="C27" s="45">
        <f>F26</f>
        <v/>
      </c>
      <c r="D27" s="45">
        <f>MAX(0,C27*$B$7/12)</f>
        <v/>
      </c>
      <c r="E27" s="45">
        <f>MAX(0,MIN(C27,$B$8-D27))</f>
        <v/>
      </c>
      <c r="F27" s="45">
        <f>MAX(0,C27-E27)</f>
        <v/>
      </c>
      <c r="G27" s="37" t="n">
        <v>2026</v>
      </c>
    </row>
    <row r="28">
      <c r="A28" s="37" t="n">
        <v>6</v>
      </c>
      <c r="B28" s="37" t="inlineStr">
        <is>
          <t>06/01/2026</t>
        </is>
      </c>
      <c r="C28" s="45">
        <f>F27</f>
        <v/>
      </c>
      <c r="D28" s="45">
        <f>MAX(0,C28*$B$7/12)</f>
        <v/>
      </c>
      <c r="E28" s="45">
        <f>MAX(0,MIN(C28,$B$8-D28))</f>
        <v/>
      </c>
      <c r="F28" s="45">
        <f>MAX(0,C28-E28)</f>
        <v/>
      </c>
      <c r="G28" s="37" t="n">
        <v>2026</v>
      </c>
    </row>
    <row r="29">
      <c r="A29" s="37" t="n">
        <v>7</v>
      </c>
      <c r="B29" s="37" t="inlineStr">
        <is>
          <t>07/01/2026</t>
        </is>
      </c>
      <c r="C29" s="45">
        <f>F28</f>
        <v/>
      </c>
      <c r="D29" s="45">
        <f>MAX(0,C29*$B$7/12)</f>
        <v/>
      </c>
      <c r="E29" s="45">
        <f>MAX(0,MIN(C29,$B$8-D29))</f>
        <v/>
      </c>
      <c r="F29" s="45">
        <f>MAX(0,C29-E29)</f>
        <v/>
      </c>
      <c r="G29" s="37" t="n">
        <v>2026</v>
      </c>
    </row>
    <row r="30">
      <c r="A30" s="37" t="n">
        <v>8</v>
      </c>
      <c r="B30" s="37" t="inlineStr">
        <is>
          <t>08/01/2026</t>
        </is>
      </c>
      <c r="C30" s="45">
        <f>F29</f>
        <v/>
      </c>
      <c r="D30" s="45">
        <f>MAX(0,C30*$B$7/12)</f>
        <v/>
      </c>
      <c r="E30" s="45">
        <f>MAX(0,MIN(C30,$B$8-D30))</f>
        <v/>
      </c>
      <c r="F30" s="45">
        <f>MAX(0,C30-E30)</f>
        <v/>
      </c>
      <c r="G30" s="37" t="n">
        <v>2026</v>
      </c>
    </row>
    <row r="31">
      <c r="A31" s="37" t="n">
        <v>9</v>
      </c>
      <c r="B31" s="37" t="inlineStr">
        <is>
          <t>09/01/2026</t>
        </is>
      </c>
      <c r="C31" s="45">
        <f>F30</f>
        <v/>
      </c>
      <c r="D31" s="45">
        <f>MAX(0,C31*$B$7/12)</f>
        <v/>
      </c>
      <c r="E31" s="45">
        <f>MAX(0,MIN(C31,$B$8-D31))</f>
        <v/>
      </c>
      <c r="F31" s="45">
        <f>MAX(0,C31-E31)</f>
        <v/>
      </c>
      <c r="G31" s="37" t="n">
        <v>2026</v>
      </c>
    </row>
    <row r="32">
      <c r="A32" s="37" t="n">
        <v>10</v>
      </c>
      <c r="B32" s="37" t="inlineStr">
        <is>
          <t>10/01/2026</t>
        </is>
      </c>
      <c r="C32" s="45">
        <f>F31</f>
        <v/>
      </c>
      <c r="D32" s="45">
        <f>MAX(0,C32*$B$7/12)</f>
        <v/>
      </c>
      <c r="E32" s="45">
        <f>MAX(0,MIN(C32,$B$8-D32))</f>
        <v/>
      </c>
      <c r="F32" s="45">
        <f>MAX(0,C32-E32)</f>
        <v/>
      </c>
      <c r="G32" s="37" t="n">
        <v>2026</v>
      </c>
    </row>
    <row r="33">
      <c r="A33" s="37" t="n">
        <v>11</v>
      </c>
      <c r="B33" s="37" t="inlineStr">
        <is>
          <t>11/01/2026</t>
        </is>
      </c>
      <c r="C33" s="45">
        <f>F32</f>
        <v/>
      </c>
      <c r="D33" s="45">
        <f>MAX(0,C33*$B$7/12)</f>
        <v/>
      </c>
      <c r="E33" s="45">
        <f>MAX(0,MIN(C33,$B$8-D33))</f>
        <v/>
      </c>
      <c r="F33" s="45">
        <f>MAX(0,C33-E33)</f>
        <v/>
      </c>
      <c r="G33" s="37" t="n">
        <v>2026</v>
      </c>
    </row>
    <row r="34">
      <c r="A34" s="37" t="n">
        <v>12</v>
      </c>
      <c r="B34" s="37" t="inlineStr">
        <is>
          <t>12/01/2026</t>
        </is>
      </c>
      <c r="C34" s="45">
        <f>F33</f>
        <v/>
      </c>
      <c r="D34" s="45">
        <f>MAX(0,C34*$B$7/12)</f>
        <v/>
      </c>
      <c r="E34" s="45">
        <f>MAX(0,MIN(C34,$B$8-D34))</f>
        <v/>
      </c>
      <c r="F34" s="45">
        <f>MAX(0,C34-E34)</f>
        <v/>
      </c>
      <c r="G34" s="37" t="n">
        <v>2026</v>
      </c>
    </row>
    <row r="35">
      <c r="A35" s="37" t="n">
        <v>13</v>
      </c>
      <c r="B35" s="37" t="inlineStr">
        <is>
          <t>01/01/2027</t>
        </is>
      </c>
      <c r="C35" s="45">
        <f>F34</f>
        <v/>
      </c>
      <c r="D35" s="45">
        <f>MAX(0,C35*$B$7/12)</f>
        <v/>
      </c>
      <c r="E35" s="45">
        <f>MAX(0,MIN(C35,$B$8-D35))</f>
        <v/>
      </c>
      <c r="F35" s="45">
        <f>MAX(0,C35-E35)</f>
        <v/>
      </c>
      <c r="G35" s="37" t="n">
        <v>2027</v>
      </c>
    </row>
    <row r="36">
      <c r="A36" s="37" t="n">
        <v>14</v>
      </c>
      <c r="B36" s="37" t="inlineStr">
        <is>
          <t>02/01/2027</t>
        </is>
      </c>
      <c r="C36" s="45">
        <f>F35</f>
        <v/>
      </c>
      <c r="D36" s="45">
        <f>MAX(0,C36*$B$7/12)</f>
        <v/>
      </c>
      <c r="E36" s="45">
        <f>MAX(0,MIN(C36,$B$8-D36))</f>
        <v/>
      </c>
      <c r="F36" s="45">
        <f>MAX(0,C36-E36)</f>
        <v/>
      </c>
      <c r="G36" s="37" t="n">
        <v>2027</v>
      </c>
    </row>
    <row r="37">
      <c r="A37" s="37" t="n">
        <v>15</v>
      </c>
      <c r="B37" s="37" t="inlineStr">
        <is>
          <t>03/01/2027</t>
        </is>
      </c>
      <c r="C37" s="45">
        <f>F36</f>
        <v/>
      </c>
      <c r="D37" s="45">
        <f>MAX(0,C37*$B$7/12)</f>
        <v/>
      </c>
      <c r="E37" s="45">
        <f>MAX(0,MIN(C37,$B$8-D37))</f>
        <v/>
      </c>
      <c r="F37" s="45">
        <f>MAX(0,C37-E37)</f>
        <v/>
      </c>
      <c r="G37" s="37" t="n">
        <v>2027</v>
      </c>
    </row>
    <row r="38">
      <c r="A38" s="37" t="n">
        <v>16</v>
      </c>
      <c r="B38" s="37" t="inlineStr">
        <is>
          <t>04/01/2027</t>
        </is>
      </c>
      <c r="C38" s="45">
        <f>F37</f>
        <v/>
      </c>
      <c r="D38" s="45">
        <f>MAX(0,C38*$B$7/12)</f>
        <v/>
      </c>
      <c r="E38" s="45">
        <f>MAX(0,MIN(C38,$B$8-D38))</f>
        <v/>
      </c>
      <c r="F38" s="45">
        <f>MAX(0,C38-E38)</f>
        <v/>
      </c>
      <c r="G38" s="37" t="n">
        <v>2027</v>
      </c>
    </row>
    <row r="39">
      <c r="A39" s="37" t="n">
        <v>17</v>
      </c>
      <c r="B39" s="37" t="inlineStr">
        <is>
          <t>05/01/2027</t>
        </is>
      </c>
      <c r="C39" s="45">
        <f>F38</f>
        <v/>
      </c>
      <c r="D39" s="45">
        <f>MAX(0,C39*$B$7/12)</f>
        <v/>
      </c>
      <c r="E39" s="45">
        <f>MAX(0,MIN(C39,$B$8-D39))</f>
        <v/>
      </c>
      <c r="F39" s="45">
        <f>MAX(0,C39-E39)</f>
        <v/>
      </c>
      <c r="G39" s="37" t="n">
        <v>2027</v>
      </c>
    </row>
    <row r="40">
      <c r="A40" s="37" t="n">
        <v>18</v>
      </c>
      <c r="B40" s="37" t="inlineStr">
        <is>
          <t>06/01/2027</t>
        </is>
      </c>
      <c r="C40" s="45">
        <f>F39</f>
        <v/>
      </c>
      <c r="D40" s="45">
        <f>MAX(0,C40*$B$7/12)</f>
        <v/>
      </c>
      <c r="E40" s="45">
        <f>MAX(0,MIN(C40,$B$8-D40))</f>
        <v/>
      </c>
      <c r="F40" s="45">
        <f>MAX(0,C40-E40)</f>
        <v/>
      </c>
      <c r="G40" s="37" t="n">
        <v>2027</v>
      </c>
    </row>
    <row r="41">
      <c r="A41" s="37" t="n">
        <v>19</v>
      </c>
      <c r="B41" s="37" t="inlineStr">
        <is>
          <t>07/01/2027</t>
        </is>
      </c>
      <c r="C41" s="45">
        <f>F40</f>
        <v/>
      </c>
      <c r="D41" s="45">
        <f>MAX(0,C41*$B$7/12)</f>
        <v/>
      </c>
      <c r="E41" s="45">
        <f>MAX(0,MIN(C41,$B$8-D41))</f>
        <v/>
      </c>
      <c r="F41" s="45">
        <f>MAX(0,C41-E41)</f>
        <v/>
      </c>
      <c r="G41" s="37" t="n">
        <v>2027</v>
      </c>
    </row>
    <row r="42">
      <c r="A42" s="37" t="n">
        <v>20</v>
      </c>
      <c r="B42" s="37" t="inlineStr">
        <is>
          <t>08/01/2027</t>
        </is>
      </c>
      <c r="C42" s="45">
        <f>F41</f>
        <v/>
      </c>
      <c r="D42" s="45">
        <f>MAX(0,C42*$B$7/12)</f>
        <v/>
      </c>
      <c r="E42" s="45">
        <f>MAX(0,MIN(C42,$B$8-D42))</f>
        <v/>
      </c>
      <c r="F42" s="45">
        <f>MAX(0,C42-E42)</f>
        <v/>
      </c>
      <c r="G42" s="37" t="n">
        <v>2027</v>
      </c>
    </row>
    <row r="43">
      <c r="A43" s="37" t="n">
        <v>21</v>
      </c>
      <c r="B43" s="37" t="inlineStr">
        <is>
          <t>09/01/2027</t>
        </is>
      </c>
      <c r="C43" s="45">
        <f>F42</f>
        <v/>
      </c>
      <c r="D43" s="45">
        <f>MAX(0,C43*$B$7/12)</f>
        <v/>
      </c>
      <c r="E43" s="45">
        <f>MAX(0,MIN(C43,$B$8-D43))</f>
        <v/>
      </c>
      <c r="F43" s="45">
        <f>MAX(0,C43-E43)</f>
        <v/>
      </c>
      <c r="G43" s="37" t="n">
        <v>2027</v>
      </c>
    </row>
    <row r="44">
      <c r="A44" s="37" t="n">
        <v>22</v>
      </c>
      <c r="B44" s="37" t="inlineStr">
        <is>
          <t>10/01/2027</t>
        </is>
      </c>
      <c r="C44" s="45">
        <f>F43</f>
        <v/>
      </c>
      <c r="D44" s="45">
        <f>MAX(0,C44*$B$7/12)</f>
        <v/>
      </c>
      <c r="E44" s="45">
        <f>MAX(0,MIN(C44,$B$8-D44))</f>
        <v/>
      </c>
      <c r="F44" s="45">
        <f>MAX(0,C44-E44)</f>
        <v/>
      </c>
      <c r="G44" s="37" t="n">
        <v>2027</v>
      </c>
    </row>
    <row r="45">
      <c r="A45" s="37" t="n">
        <v>23</v>
      </c>
      <c r="B45" s="37" t="inlineStr">
        <is>
          <t>11/01/2027</t>
        </is>
      </c>
      <c r="C45" s="45">
        <f>F44</f>
        <v/>
      </c>
      <c r="D45" s="45">
        <f>MAX(0,C45*$B$7/12)</f>
        <v/>
      </c>
      <c r="E45" s="45">
        <f>MAX(0,MIN(C45,$B$8-D45))</f>
        <v/>
      </c>
      <c r="F45" s="45">
        <f>MAX(0,C45-E45)</f>
        <v/>
      </c>
      <c r="G45" s="37" t="n">
        <v>2027</v>
      </c>
    </row>
    <row r="46">
      <c r="A46" s="37" t="n">
        <v>24</v>
      </c>
      <c r="B46" s="37" t="inlineStr">
        <is>
          <t>12/01/2027</t>
        </is>
      </c>
      <c r="C46" s="45">
        <f>F45</f>
        <v/>
      </c>
      <c r="D46" s="45">
        <f>MAX(0,C46*$B$7/12)</f>
        <v/>
      </c>
      <c r="E46" s="45">
        <f>MAX(0,MIN(C46,$B$8-D46))</f>
        <v/>
      </c>
      <c r="F46" s="45">
        <f>MAX(0,C46-E46)</f>
        <v/>
      </c>
      <c r="G46" s="37" t="n">
        <v>2027</v>
      </c>
    </row>
    <row r="47">
      <c r="A47" s="37" t="n">
        <v>25</v>
      </c>
      <c r="B47" s="37" t="inlineStr">
        <is>
          <t>01/01/2028</t>
        </is>
      </c>
      <c r="C47" s="45">
        <f>F46</f>
        <v/>
      </c>
      <c r="D47" s="45">
        <f>MAX(0,C47*$B$7/12)</f>
        <v/>
      </c>
      <c r="E47" s="45">
        <f>MAX(0,MIN(C47,$B$8-D47))</f>
        <v/>
      </c>
      <c r="F47" s="45">
        <f>MAX(0,C47-E47)</f>
        <v/>
      </c>
      <c r="G47" s="37" t="n">
        <v>2028</v>
      </c>
    </row>
    <row r="48">
      <c r="A48" s="37" t="n">
        <v>26</v>
      </c>
      <c r="B48" s="37" t="inlineStr">
        <is>
          <t>02/01/2028</t>
        </is>
      </c>
      <c r="C48" s="45">
        <f>F47</f>
        <v/>
      </c>
      <c r="D48" s="45">
        <f>MAX(0,C48*$B$7/12)</f>
        <v/>
      </c>
      <c r="E48" s="45">
        <f>MAX(0,MIN(C48,$B$8-D48))</f>
        <v/>
      </c>
      <c r="F48" s="45">
        <f>MAX(0,C48-E48)</f>
        <v/>
      </c>
      <c r="G48" s="37" t="n">
        <v>2028</v>
      </c>
    </row>
    <row r="49">
      <c r="A49" s="37" t="n">
        <v>27</v>
      </c>
      <c r="B49" s="37" t="inlineStr">
        <is>
          <t>03/01/2028</t>
        </is>
      </c>
      <c r="C49" s="45">
        <f>F48</f>
        <v/>
      </c>
      <c r="D49" s="45">
        <f>MAX(0,C49*$B$7/12)</f>
        <v/>
      </c>
      <c r="E49" s="45">
        <f>MAX(0,MIN(C49,$B$8-D49))</f>
        <v/>
      </c>
      <c r="F49" s="45">
        <f>MAX(0,C49-E49)</f>
        <v/>
      </c>
      <c r="G49" s="37" t="n">
        <v>2028</v>
      </c>
    </row>
    <row r="50">
      <c r="A50" s="37" t="n">
        <v>28</v>
      </c>
      <c r="B50" s="37" t="inlineStr">
        <is>
          <t>04/01/2028</t>
        </is>
      </c>
      <c r="C50" s="45">
        <f>F49</f>
        <v/>
      </c>
      <c r="D50" s="45">
        <f>MAX(0,C50*$B$7/12)</f>
        <v/>
      </c>
      <c r="E50" s="45">
        <f>MAX(0,MIN(C50,$B$8-D50))</f>
        <v/>
      </c>
      <c r="F50" s="45">
        <f>MAX(0,C50-E50)</f>
        <v/>
      </c>
      <c r="G50" s="37" t="n">
        <v>2028</v>
      </c>
    </row>
    <row r="51">
      <c r="A51" s="37" t="n">
        <v>29</v>
      </c>
      <c r="B51" s="37" t="inlineStr">
        <is>
          <t>05/01/2028</t>
        </is>
      </c>
      <c r="C51" s="45">
        <f>F50</f>
        <v/>
      </c>
      <c r="D51" s="45">
        <f>MAX(0,C51*$B$7/12)</f>
        <v/>
      </c>
      <c r="E51" s="45">
        <f>MAX(0,MIN(C51,$B$8-D51))</f>
        <v/>
      </c>
      <c r="F51" s="45">
        <f>MAX(0,C51-E51)</f>
        <v/>
      </c>
      <c r="G51" s="37" t="n">
        <v>2028</v>
      </c>
    </row>
    <row r="52">
      <c r="A52" s="37" t="n">
        <v>30</v>
      </c>
      <c r="B52" s="37" t="inlineStr">
        <is>
          <t>06/01/2028</t>
        </is>
      </c>
      <c r="C52" s="45">
        <f>F51</f>
        <v/>
      </c>
      <c r="D52" s="45">
        <f>MAX(0,C52*$B$7/12)</f>
        <v/>
      </c>
      <c r="E52" s="45">
        <f>MAX(0,MIN(C52,$B$8-D52))</f>
        <v/>
      </c>
      <c r="F52" s="45">
        <f>MAX(0,C52-E52)</f>
        <v/>
      </c>
      <c r="G52" s="37" t="n">
        <v>2028</v>
      </c>
    </row>
    <row r="53">
      <c r="A53" s="37" t="n">
        <v>31</v>
      </c>
      <c r="B53" s="37" t="inlineStr">
        <is>
          <t>07/01/2028</t>
        </is>
      </c>
      <c r="C53" s="45">
        <f>F52</f>
        <v/>
      </c>
      <c r="D53" s="45">
        <f>MAX(0,C53*$B$7/12)</f>
        <v/>
      </c>
      <c r="E53" s="45">
        <f>MAX(0,MIN(C53,$B$8-D53))</f>
        <v/>
      </c>
      <c r="F53" s="45">
        <f>MAX(0,C53-E53)</f>
        <v/>
      </c>
      <c r="G53" s="37" t="n">
        <v>2028</v>
      </c>
    </row>
    <row r="54">
      <c r="A54" s="37" t="n">
        <v>32</v>
      </c>
      <c r="B54" s="37" t="inlineStr">
        <is>
          <t>08/01/2028</t>
        </is>
      </c>
      <c r="C54" s="45">
        <f>F53</f>
        <v/>
      </c>
      <c r="D54" s="45">
        <f>MAX(0,C54*$B$7/12)</f>
        <v/>
      </c>
      <c r="E54" s="45">
        <f>MAX(0,MIN(C54,$B$8-D54))</f>
        <v/>
      </c>
      <c r="F54" s="45">
        <f>MAX(0,C54-E54)</f>
        <v/>
      </c>
      <c r="G54" s="37" t="n">
        <v>2028</v>
      </c>
    </row>
    <row r="55">
      <c r="A55" s="37" t="n">
        <v>33</v>
      </c>
      <c r="B55" s="37" t="inlineStr">
        <is>
          <t>09/01/2028</t>
        </is>
      </c>
      <c r="C55" s="45">
        <f>F54</f>
        <v/>
      </c>
      <c r="D55" s="45">
        <f>MAX(0,C55*$B$7/12)</f>
        <v/>
      </c>
      <c r="E55" s="45">
        <f>MAX(0,MIN(C55,$B$8-D55))</f>
        <v/>
      </c>
      <c r="F55" s="45">
        <f>MAX(0,C55-E55)</f>
        <v/>
      </c>
      <c r="G55" s="37" t="n">
        <v>2028</v>
      </c>
    </row>
    <row r="56">
      <c r="A56" s="37" t="n">
        <v>34</v>
      </c>
      <c r="B56" s="37" t="inlineStr">
        <is>
          <t>10/01/2028</t>
        </is>
      </c>
      <c r="C56" s="45">
        <f>F55</f>
        <v/>
      </c>
      <c r="D56" s="45">
        <f>MAX(0,C56*$B$7/12)</f>
        <v/>
      </c>
      <c r="E56" s="45">
        <f>MAX(0,MIN(C56,$B$8-D56))</f>
        <v/>
      </c>
      <c r="F56" s="45">
        <f>MAX(0,C56-E56)</f>
        <v/>
      </c>
      <c r="G56" s="37" t="n">
        <v>2028</v>
      </c>
    </row>
    <row r="57">
      <c r="A57" s="37" t="n">
        <v>35</v>
      </c>
      <c r="B57" s="37" t="inlineStr">
        <is>
          <t>11/01/2028</t>
        </is>
      </c>
      <c r="C57" s="45">
        <f>F56</f>
        <v/>
      </c>
      <c r="D57" s="45">
        <f>MAX(0,C57*$B$7/12)</f>
        <v/>
      </c>
      <c r="E57" s="45">
        <f>MAX(0,MIN(C57,$B$8-D57))</f>
        <v/>
      </c>
      <c r="F57" s="45">
        <f>MAX(0,C57-E57)</f>
        <v/>
      </c>
      <c r="G57" s="37" t="n">
        <v>2028</v>
      </c>
    </row>
    <row r="58">
      <c r="A58" s="37" t="n">
        <v>36</v>
      </c>
      <c r="B58" s="37" t="inlineStr">
        <is>
          <t>12/01/2028</t>
        </is>
      </c>
      <c r="C58" s="45">
        <f>F57</f>
        <v/>
      </c>
      <c r="D58" s="45">
        <f>MAX(0,C58*$B$7/12)</f>
        <v/>
      </c>
      <c r="E58" s="45">
        <f>MAX(0,MIN(C58,$B$8-D58))</f>
        <v/>
      </c>
      <c r="F58" s="45">
        <f>MAX(0,C58-E58)</f>
        <v/>
      </c>
      <c r="G58" s="37" t="n">
        <v>2028</v>
      </c>
    </row>
    <row r="60">
      <c r="A60" s="49" t="inlineStr">
        <is>
          <t>ANNUAL SUMMARY</t>
        </is>
      </c>
    </row>
    <row r="61">
      <c r="A61" s="50" t="inlineStr">
        <is>
          <t>Year</t>
        </is>
      </c>
      <c r="C61" s="50" t="inlineStr">
        <is>
          <t>Beg Balance</t>
        </is>
      </c>
      <c r="D61" s="50" t="inlineStr">
        <is>
          <t>Total Interest</t>
        </is>
      </c>
      <c r="E61" s="50" t="inlineStr">
        <is>
          <t>Total Principal</t>
        </is>
      </c>
      <c r="F61" s="50" t="inlineStr">
        <is>
          <t>End Balance</t>
        </is>
      </c>
    </row>
    <row r="62">
      <c r="A62" s="37" t="n">
        <v>2026</v>
      </c>
      <c r="C62" s="39">
        <f>C23</f>
        <v/>
      </c>
      <c r="D62" s="39">
        <f>SUM(D23:D34)</f>
        <v/>
      </c>
      <c r="E62" s="39">
        <f>SUM(E23:E34)</f>
        <v/>
      </c>
      <c r="F62" s="39">
        <f>F34</f>
        <v/>
      </c>
    </row>
    <row r="63">
      <c r="A63" s="37" t="n">
        <v>2027</v>
      </c>
      <c r="C63" s="39">
        <f>C35</f>
        <v/>
      </c>
      <c r="D63" s="39">
        <f>SUM(D35:D46)</f>
        <v/>
      </c>
      <c r="E63" s="39">
        <f>SUM(E35:E46)</f>
        <v/>
      </c>
      <c r="F63" s="39">
        <f>F46</f>
        <v/>
      </c>
    </row>
    <row r="64">
      <c r="A64" s="37" t="n">
        <v>2028</v>
      </c>
      <c r="C64" s="39">
        <f>C47</f>
        <v/>
      </c>
      <c r="D64" s="39">
        <f>SUM(D47:D58)</f>
        <v/>
      </c>
      <c r="E64" s="39">
        <f>SUM(E47:E58)</f>
        <v/>
      </c>
      <c r="F64" s="39">
        <f>F58</f>
        <v/>
      </c>
    </row>
  </sheetData>
  <mergeCells count="8">
    <mergeCell ref="A13:G13"/>
    <mergeCell ref="A14:G14"/>
    <mergeCell ref="A17:G17"/>
    <mergeCell ref="A18:G18"/>
    <mergeCell ref="A12:G12"/>
    <mergeCell ref="A16:G16"/>
    <mergeCell ref="A15:G15"/>
    <mergeCell ref="A60:G60"/>
  </mergeCells>
  <pageMargins left="0.75" right="0.75" top="1" bottom="1" header="0.5" footer="0.5"/>
  <legacyDrawing xmlns:r="http://schemas.openxmlformats.org/officeDocument/2006/relationships" r:id="anysvml"/>
</worksheet>
</file>

<file path=xl/worksheets/sheet62.xml><?xml version="1.0" encoding="utf-8"?>
<worksheet xmlns="http://schemas.openxmlformats.org/spreadsheetml/2006/main">
  <sheetPr>
    <tabColor rgb="00808080"/>
    <outlinePr summaryBelow="1" summaryRight="1"/>
    <pageSetUpPr/>
  </sheetPr>
  <dimension ref="A1:G64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6" customWidth="1" min="3" max="3"/>
    <col width="14" customWidth="1" min="4" max="4"/>
    <col width="14" customWidth="1" min="5" max="5"/>
    <col width="16" customWidth="1" min="6" max="6"/>
    <col width="20" customWidth="1" min="7" max="7"/>
  </cols>
  <sheetData>
    <row r="1">
      <c r="A1" s="1" t="inlineStr">
        <is>
          <t>Lender</t>
        </is>
      </c>
      <c r="B1" t="inlineStr">
        <is>
          <t>BMO</t>
        </is>
      </c>
    </row>
    <row r="2">
      <c r="A2" s="1" t="inlineStr">
        <is>
          <t>Loan ID</t>
        </is>
      </c>
      <c r="B2" t="inlineStr">
        <is>
          <t>05-2934-004-000-00</t>
        </is>
      </c>
    </row>
    <row r="3">
      <c r="A3" s="1" t="inlineStr">
        <is>
          <t>Loan Number</t>
        </is>
      </c>
      <c r="B3" t="inlineStr">
        <is>
          <t>9368279001</t>
        </is>
      </c>
    </row>
    <row r="4">
      <c r="A4" s="1" t="inlineStr">
        <is>
          <t>Description</t>
        </is>
      </c>
      <c r="B4" t="inlineStr">
        <is>
          <t>1 Peterbilt 579</t>
        </is>
      </c>
    </row>
    <row r="5">
      <c r="A5" s="1" t="inlineStr">
        <is>
          <t>Collateral</t>
        </is>
      </c>
      <c r="B5" t="inlineStr">
        <is>
          <t>Equipment - Semi Trucks</t>
        </is>
      </c>
    </row>
    <row r="6">
      <c r="A6" s="1" t="inlineStr">
        <is>
          <t>Opening Balance (12/31/2025)</t>
        </is>
      </c>
      <c r="B6" s="26" t="n">
        <v>110488</v>
      </c>
    </row>
    <row r="7">
      <c r="A7" s="1" t="inlineStr">
        <is>
          <t>Annual Interest Rate</t>
        </is>
      </c>
      <c r="B7" s="6" t="n">
        <v>0.0599</v>
      </c>
    </row>
    <row r="8">
      <c r="A8" s="1" t="inlineStr">
        <is>
          <t>Monthly Payment</t>
        </is>
      </c>
      <c r="B8" s="26" t="n">
        <v>3371</v>
      </c>
    </row>
    <row r="9">
      <c r="A9" s="1" t="inlineStr">
        <is>
          <t>Origination Date</t>
        </is>
      </c>
      <c r="B9" t="inlineStr">
        <is>
          <t>2023-05-16</t>
        </is>
      </c>
    </row>
    <row r="10">
      <c r="A10" s="1" t="inlineStr">
        <is>
          <t>Maturity Date</t>
        </is>
      </c>
      <c r="B10" t="inlineStr">
        <is>
          <t>2028-12-01</t>
        </is>
      </c>
    </row>
    <row r="12">
      <c r="A12" s="47" t="inlineStr">
        <is>
          <t>LOAN ANALYSIS</t>
        </is>
      </c>
    </row>
    <row r="13">
      <c r="A13" s="9" t="inlineStr">
        <is>
          <t>Loan Type: AMORTIZING - Standard equipment loan with fixed monthly payments</t>
        </is>
      </c>
    </row>
    <row r="14">
      <c r="A14" s="9" t="inlineStr">
        <is>
          <t>Collateral: Equipment - Semi Trucks</t>
        </is>
      </c>
    </row>
    <row r="15">
      <c r="A15" s="9" t="inlineStr">
        <is>
          <t>Original Amount: $188,397.73 originated 2023-05-16</t>
        </is>
      </c>
    </row>
    <row r="16">
      <c r="A16" s="9" t="inlineStr">
        <is>
          <t>Remaining Term: Payments until maturity 2028-12-01</t>
        </is>
      </c>
    </row>
    <row r="17">
      <c r="A17" s="9" t="inlineStr">
        <is>
          <t>Amortization: Monthly interest accrual on declining balance</t>
        </is>
      </c>
    </row>
    <row r="18">
      <c r="A18" s="9" t="inlineStr">
        <is>
          <t>Note: MAX(0,...) formulas prevent negative values at loan payoff</t>
        </is>
      </c>
    </row>
    <row r="22">
      <c r="A22" s="48" t="inlineStr">
        <is>
          <t>Month #</t>
        </is>
      </c>
      <c r="B22" s="48" t="inlineStr">
        <is>
          <t>Date</t>
        </is>
      </c>
      <c r="C22" s="48" t="inlineStr">
        <is>
          <t>Opening Balance</t>
        </is>
      </c>
      <c r="D22" s="48" t="inlineStr">
        <is>
          <t>Interest</t>
        </is>
      </c>
      <c r="E22" s="48" t="inlineStr">
        <is>
          <t>Principal</t>
        </is>
      </c>
      <c r="F22" s="48" t="inlineStr">
        <is>
          <t>Closing Balance</t>
        </is>
      </c>
      <c r="G22" s="48" t="inlineStr">
        <is>
          <t>Year</t>
        </is>
      </c>
    </row>
    <row r="23">
      <c r="A23" s="37" t="n">
        <v>1</v>
      </c>
      <c r="B23" s="37" t="inlineStr">
        <is>
          <t>01/01/2026</t>
        </is>
      </c>
      <c r="C23" s="45">
        <f>$B$6</f>
        <v/>
      </c>
      <c r="D23" s="45">
        <f>MAX(0,C23*$B$7/12)</f>
        <v/>
      </c>
      <c r="E23" s="45">
        <f>MAX(0,MIN(C23,$B$8-D23))</f>
        <v/>
      </c>
      <c r="F23" s="45">
        <f>MAX(0,C23-E23)</f>
        <v/>
      </c>
      <c r="G23" s="37" t="n">
        <v>2026</v>
      </c>
    </row>
    <row r="24">
      <c r="A24" s="37" t="n">
        <v>2</v>
      </c>
      <c r="B24" s="37" t="inlineStr">
        <is>
          <t>02/01/2026</t>
        </is>
      </c>
      <c r="C24" s="45">
        <f>F23</f>
        <v/>
      </c>
      <c r="D24" s="45">
        <f>MAX(0,C24*$B$7/12)</f>
        <v/>
      </c>
      <c r="E24" s="45">
        <f>MAX(0,MIN(C24,$B$8-D24))</f>
        <v/>
      </c>
      <c r="F24" s="45">
        <f>MAX(0,C24-E24)</f>
        <v/>
      </c>
      <c r="G24" s="37" t="n">
        <v>2026</v>
      </c>
    </row>
    <row r="25">
      <c r="A25" s="37" t="n">
        <v>3</v>
      </c>
      <c r="B25" s="37" t="inlineStr">
        <is>
          <t>03/01/2026</t>
        </is>
      </c>
      <c r="C25" s="45">
        <f>F24</f>
        <v/>
      </c>
      <c r="D25" s="45">
        <f>MAX(0,C25*$B$7/12)</f>
        <v/>
      </c>
      <c r="E25" s="45">
        <f>MAX(0,MIN(C25,$B$8-D25))</f>
        <v/>
      </c>
      <c r="F25" s="45">
        <f>MAX(0,C25-E25)</f>
        <v/>
      </c>
      <c r="G25" s="37" t="n">
        <v>2026</v>
      </c>
    </row>
    <row r="26">
      <c r="A26" s="37" t="n">
        <v>4</v>
      </c>
      <c r="B26" s="37" t="inlineStr">
        <is>
          <t>04/01/2026</t>
        </is>
      </c>
      <c r="C26" s="45">
        <f>F25</f>
        <v/>
      </c>
      <c r="D26" s="45">
        <f>MAX(0,C26*$B$7/12)</f>
        <v/>
      </c>
      <c r="E26" s="45">
        <f>MAX(0,MIN(C26,$B$8-D26))</f>
        <v/>
      </c>
      <c r="F26" s="45">
        <f>MAX(0,C26-E26)</f>
        <v/>
      </c>
      <c r="G26" s="37" t="n">
        <v>2026</v>
      </c>
    </row>
    <row r="27">
      <c r="A27" s="37" t="n">
        <v>5</v>
      </c>
      <c r="B27" s="37" t="inlineStr">
        <is>
          <t>05/01/2026</t>
        </is>
      </c>
      <c r="C27" s="45">
        <f>F26</f>
        <v/>
      </c>
      <c r="D27" s="45">
        <f>MAX(0,C27*$B$7/12)</f>
        <v/>
      </c>
      <c r="E27" s="45">
        <f>MAX(0,MIN(C27,$B$8-D27))</f>
        <v/>
      </c>
      <c r="F27" s="45">
        <f>MAX(0,C27-E27)</f>
        <v/>
      </c>
      <c r="G27" s="37" t="n">
        <v>2026</v>
      </c>
    </row>
    <row r="28">
      <c r="A28" s="37" t="n">
        <v>6</v>
      </c>
      <c r="B28" s="37" t="inlineStr">
        <is>
          <t>06/01/2026</t>
        </is>
      </c>
      <c r="C28" s="45">
        <f>F27</f>
        <v/>
      </c>
      <c r="D28" s="45">
        <f>MAX(0,C28*$B$7/12)</f>
        <v/>
      </c>
      <c r="E28" s="45">
        <f>MAX(0,MIN(C28,$B$8-D28))</f>
        <v/>
      </c>
      <c r="F28" s="45">
        <f>MAX(0,C28-E28)</f>
        <v/>
      </c>
      <c r="G28" s="37" t="n">
        <v>2026</v>
      </c>
    </row>
    <row r="29">
      <c r="A29" s="37" t="n">
        <v>7</v>
      </c>
      <c r="B29" s="37" t="inlineStr">
        <is>
          <t>07/01/2026</t>
        </is>
      </c>
      <c r="C29" s="45">
        <f>F28</f>
        <v/>
      </c>
      <c r="D29" s="45">
        <f>MAX(0,C29*$B$7/12)</f>
        <v/>
      </c>
      <c r="E29" s="45">
        <f>MAX(0,MIN(C29,$B$8-D29))</f>
        <v/>
      </c>
      <c r="F29" s="45">
        <f>MAX(0,C29-E29)</f>
        <v/>
      </c>
      <c r="G29" s="37" t="n">
        <v>2026</v>
      </c>
    </row>
    <row r="30">
      <c r="A30" s="37" t="n">
        <v>8</v>
      </c>
      <c r="B30" s="37" t="inlineStr">
        <is>
          <t>08/01/2026</t>
        </is>
      </c>
      <c r="C30" s="45">
        <f>F29</f>
        <v/>
      </c>
      <c r="D30" s="45">
        <f>MAX(0,C30*$B$7/12)</f>
        <v/>
      </c>
      <c r="E30" s="45">
        <f>MAX(0,MIN(C30,$B$8-D30))</f>
        <v/>
      </c>
      <c r="F30" s="45">
        <f>MAX(0,C30-E30)</f>
        <v/>
      </c>
      <c r="G30" s="37" t="n">
        <v>2026</v>
      </c>
    </row>
    <row r="31">
      <c r="A31" s="37" t="n">
        <v>9</v>
      </c>
      <c r="B31" s="37" t="inlineStr">
        <is>
          <t>09/01/2026</t>
        </is>
      </c>
      <c r="C31" s="45">
        <f>F30</f>
        <v/>
      </c>
      <c r="D31" s="45">
        <f>MAX(0,C31*$B$7/12)</f>
        <v/>
      </c>
      <c r="E31" s="45">
        <f>MAX(0,MIN(C31,$B$8-D31))</f>
        <v/>
      </c>
      <c r="F31" s="45">
        <f>MAX(0,C31-E31)</f>
        <v/>
      </c>
      <c r="G31" s="37" t="n">
        <v>2026</v>
      </c>
    </row>
    <row r="32">
      <c r="A32" s="37" t="n">
        <v>10</v>
      </c>
      <c r="B32" s="37" t="inlineStr">
        <is>
          <t>10/01/2026</t>
        </is>
      </c>
      <c r="C32" s="45">
        <f>F31</f>
        <v/>
      </c>
      <c r="D32" s="45">
        <f>MAX(0,C32*$B$7/12)</f>
        <v/>
      </c>
      <c r="E32" s="45">
        <f>MAX(0,MIN(C32,$B$8-D32))</f>
        <v/>
      </c>
      <c r="F32" s="45">
        <f>MAX(0,C32-E32)</f>
        <v/>
      </c>
      <c r="G32" s="37" t="n">
        <v>2026</v>
      </c>
    </row>
    <row r="33">
      <c r="A33" s="37" t="n">
        <v>11</v>
      </c>
      <c r="B33" s="37" t="inlineStr">
        <is>
          <t>11/01/2026</t>
        </is>
      </c>
      <c r="C33" s="45">
        <f>F32</f>
        <v/>
      </c>
      <c r="D33" s="45">
        <f>MAX(0,C33*$B$7/12)</f>
        <v/>
      </c>
      <c r="E33" s="45">
        <f>MAX(0,MIN(C33,$B$8-D33))</f>
        <v/>
      </c>
      <c r="F33" s="45">
        <f>MAX(0,C33-E33)</f>
        <v/>
      </c>
      <c r="G33" s="37" t="n">
        <v>2026</v>
      </c>
    </row>
    <row r="34">
      <c r="A34" s="37" t="n">
        <v>12</v>
      </c>
      <c r="B34" s="37" t="inlineStr">
        <is>
          <t>12/01/2026</t>
        </is>
      </c>
      <c r="C34" s="45">
        <f>F33</f>
        <v/>
      </c>
      <c r="D34" s="45">
        <f>MAX(0,C34*$B$7/12)</f>
        <v/>
      </c>
      <c r="E34" s="45">
        <f>MAX(0,MIN(C34,$B$8-D34))</f>
        <v/>
      </c>
      <c r="F34" s="45">
        <f>MAX(0,C34-E34)</f>
        <v/>
      </c>
      <c r="G34" s="37" t="n">
        <v>2026</v>
      </c>
    </row>
    <row r="35">
      <c r="A35" s="37" t="n">
        <v>13</v>
      </c>
      <c r="B35" s="37" t="inlineStr">
        <is>
          <t>01/01/2027</t>
        </is>
      </c>
      <c r="C35" s="45">
        <f>F34</f>
        <v/>
      </c>
      <c r="D35" s="45">
        <f>MAX(0,C35*$B$7/12)</f>
        <v/>
      </c>
      <c r="E35" s="45">
        <f>MAX(0,MIN(C35,$B$8-D35))</f>
        <v/>
      </c>
      <c r="F35" s="45">
        <f>MAX(0,C35-E35)</f>
        <v/>
      </c>
      <c r="G35" s="37" t="n">
        <v>2027</v>
      </c>
    </row>
    <row r="36">
      <c r="A36" s="37" t="n">
        <v>14</v>
      </c>
      <c r="B36" s="37" t="inlineStr">
        <is>
          <t>02/01/2027</t>
        </is>
      </c>
      <c r="C36" s="45">
        <f>F35</f>
        <v/>
      </c>
      <c r="D36" s="45">
        <f>MAX(0,C36*$B$7/12)</f>
        <v/>
      </c>
      <c r="E36" s="45">
        <f>MAX(0,MIN(C36,$B$8-D36))</f>
        <v/>
      </c>
      <c r="F36" s="45">
        <f>MAX(0,C36-E36)</f>
        <v/>
      </c>
      <c r="G36" s="37" t="n">
        <v>2027</v>
      </c>
    </row>
    <row r="37">
      <c r="A37" s="37" t="n">
        <v>15</v>
      </c>
      <c r="B37" s="37" t="inlineStr">
        <is>
          <t>03/01/2027</t>
        </is>
      </c>
      <c r="C37" s="45">
        <f>F36</f>
        <v/>
      </c>
      <c r="D37" s="45">
        <f>MAX(0,C37*$B$7/12)</f>
        <v/>
      </c>
      <c r="E37" s="45">
        <f>MAX(0,MIN(C37,$B$8-D37))</f>
        <v/>
      </c>
      <c r="F37" s="45">
        <f>MAX(0,C37-E37)</f>
        <v/>
      </c>
      <c r="G37" s="37" t="n">
        <v>2027</v>
      </c>
    </row>
    <row r="38">
      <c r="A38" s="37" t="n">
        <v>16</v>
      </c>
      <c r="B38" s="37" t="inlineStr">
        <is>
          <t>04/01/2027</t>
        </is>
      </c>
      <c r="C38" s="45">
        <f>F37</f>
        <v/>
      </c>
      <c r="D38" s="45">
        <f>MAX(0,C38*$B$7/12)</f>
        <v/>
      </c>
      <c r="E38" s="45">
        <f>MAX(0,MIN(C38,$B$8-D38))</f>
        <v/>
      </c>
      <c r="F38" s="45">
        <f>MAX(0,C38-E38)</f>
        <v/>
      </c>
      <c r="G38" s="37" t="n">
        <v>2027</v>
      </c>
    </row>
    <row r="39">
      <c r="A39" s="37" t="n">
        <v>17</v>
      </c>
      <c r="B39" s="37" t="inlineStr">
        <is>
          <t>05/01/2027</t>
        </is>
      </c>
      <c r="C39" s="45">
        <f>F38</f>
        <v/>
      </c>
      <c r="D39" s="45">
        <f>MAX(0,C39*$B$7/12)</f>
        <v/>
      </c>
      <c r="E39" s="45">
        <f>MAX(0,MIN(C39,$B$8-D39))</f>
        <v/>
      </c>
      <c r="F39" s="45">
        <f>MAX(0,C39-E39)</f>
        <v/>
      </c>
      <c r="G39" s="37" t="n">
        <v>2027</v>
      </c>
    </row>
    <row r="40">
      <c r="A40" s="37" t="n">
        <v>18</v>
      </c>
      <c r="B40" s="37" t="inlineStr">
        <is>
          <t>06/01/2027</t>
        </is>
      </c>
      <c r="C40" s="45">
        <f>F39</f>
        <v/>
      </c>
      <c r="D40" s="45">
        <f>MAX(0,C40*$B$7/12)</f>
        <v/>
      </c>
      <c r="E40" s="45">
        <f>MAX(0,MIN(C40,$B$8-D40))</f>
        <v/>
      </c>
      <c r="F40" s="45">
        <f>MAX(0,C40-E40)</f>
        <v/>
      </c>
      <c r="G40" s="37" t="n">
        <v>2027</v>
      </c>
    </row>
    <row r="41">
      <c r="A41" s="37" t="n">
        <v>19</v>
      </c>
      <c r="B41" s="37" t="inlineStr">
        <is>
          <t>07/01/2027</t>
        </is>
      </c>
      <c r="C41" s="45">
        <f>F40</f>
        <v/>
      </c>
      <c r="D41" s="45">
        <f>MAX(0,C41*$B$7/12)</f>
        <v/>
      </c>
      <c r="E41" s="45">
        <f>MAX(0,MIN(C41,$B$8-D41))</f>
        <v/>
      </c>
      <c r="F41" s="45">
        <f>MAX(0,C41-E41)</f>
        <v/>
      </c>
      <c r="G41" s="37" t="n">
        <v>2027</v>
      </c>
    </row>
    <row r="42">
      <c r="A42" s="37" t="n">
        <v>20</v>
      </c>
      <c r="B42" s="37" t="inlineStr">
        <is>
          <t>08/01/2027</t>
        </is>
      </c>
      <c r="C42" s="45">
        <f>F41</f>
        <v/>
      </c>
      <c r="D42" s="45">
        <f>MAX(0,C42*$B$7/12)</f>
        <v/>
      </c>
      <c r="E42" s="45">
        <f>MAX(0,MIN(C42,$B$8-D42))</f>
        <v/>
      </c>
      <c r="F42" s="45">
        <f>MAX(0,C42-E42)</f>
        <v/>
      </c>
      <c r="G42" s="37" t="n">
        <v>2027</v>
      </c>
    </row>
    <row r="43">
      <c r="A43" s="37" t="n">
        <v>21</v>
      </c>
      <c r="B43" s="37" t="inlineStr">
        <is>
          <t>09/01/2027</t>
        </is>
      </c>
      <c r="C43" s="45">
        <f>F42</f>
        <v/>
      </c>
      <c r="D43" s="45">
        <f>MAX(0,C43*$B$7/12)</f>
        <v/>
      </c>
      <c r="E43" s="45">
        <f>MAX(0,MIN(C43,$B$8-D43))</f>
        <v/>
      </c>
      <c r="F43" s="45">
        <f>MAX(0,C43-E43)</f>
        <v/>
      </c>
      <c r="G43" s="37" t="n">
        <v>2027</v>
      </c>
    </row>
    <row r="44">
      <c r="A44" s="37" t="n">
        <v>22</v>
      </c>
      <c r="B44" s="37" t="inlineStr">
        <is>
          <t>10/01/2027</t>
        </is>
      </c>
      <c r="C44" s="45">
        <f>F43</f>
        <v/>
      </c>
      <c r="D44" s="45">
        <f>MAX(0,C44*$B$7/12)</f>
        <v/>
      </c>
      <c r="E44" s="45">
        <f>MAX(0,MIN(C44,$B$8-D44))</f>
        <v/>
      </c>
      <c r="F44" s="45">
        <f>MAX(0,C44-E44)</f>
        <v/>
      </c>
      <c r="G44" s="37" t="n">
        <v>2027</v>
      </c>
    </row>
    <row r="45">
      <c r="A45" s="37" t="n">
        <v>23</v>
      </c>
      <c r="B45" s="37" t="inlineStr">
        <is>
          <t>11/01/2027</t>
        </is>
      </c>
      <c r="C45" s="45">
        <f>F44</f>
        <v/>
      </c>
      <c r="D45" s="45">
        <f>MAX(0,C45*$B$7/12)</f>
        <v/>
      </c>
      <c r="E45" s="45">
        <f>MAX(0,MIN(C45,$B$8-D45))</f>
        <v/>
      </c>
      <c r="F45" s="45">
        <f>MAX(0,C45-E45)</f>
        <v/>
      </c>
      <c r="G45" s="37" t="n">
        <v>2027</v>
      </c>
    </row>
    <row r="46">
      <c r="A46" s="37" t="n">
        <v>24</v>
      </c>
      <c r="B46" s="37" t="inlineStr">
        <is>
          <t>12/01/2027</t>
        </is>
      </c>
      <c r="C46" s="45">
        <f>F45</f>
        <v/>
      </c>
      <c r="D46" s="45">
        <f>MAX(0,C46*$B$7/12)</f>
        <v/>
      </c>
      <c r="E46" s="45">
        <f>MAX(0,MIN(C46,$B$8-D46))</f>
        <v/>
      </c>
      <c r="F46" s="45">
        <f>MAX(0,C46-E46)</f>
        <v/>
      </c>
      <c r="G46" s="37" t="n">
        <v>2027</v>
      </c>
    </row>
    <row r="47">
      <c r="A47" s="37" t="n">
        <v>25</v>
      </c>
      <c r="B47" s="37" t="inlineStr">
        <is>
          <t>01/01/2028</t>
        </is>
      </c>
      <c r="C47" s="45">
        <f>F46</f>
        <v/>
      </c>
      <c r="D47" s="45">
        <f>MAX(0,C47*$B$7/12)</f>
        <v/>
      </c>
      <c r="E47" s="45">
        <f>MAX(0,MIN(C47,$B$8-D47))</f>
        <v/>
      </c>
      <c r="F47" s="45">
        <f>MAX(0,C47-E47)</f>
        <v/>
      </c>
      <c r="G47" s="37" t="n">
        <v>2028</v>
      </c>
    </row>
    <row r="48">
      <c r="A48" s="37" t="n">
        <v>26</v>
      </c>
      <c r="B48" s="37" t="inlineStr">
        <is>
          <t>02/01/2028</t>
        </is>
      </c>
      <c r="C48" s="45">
        <f>F47</f>
        <v/>
      </c>
      <c r="D48" s="45">
        <f>MAX(0,C48*$B$7/12)</f>
        <v/>
      </c>
      <c r="E48" s="45">
        <f>MAX(0,MIN(C48,$B$8-D48))</f>
        <v/>
      </c>
      <c r="F48" s="45">
        <f>MAX(0,C48-E48)</f>
        <v/>
      </c>
      <c r="G48" s="37" t="n">
        <v>2028</v>
      </c>
    </row>
    <row r="49">
      <c r="A49" s="37" t="n">
        <v>27</v>
      </c>
      <c r="B49" s="37" t="inlineStr">
        <is>
          <t>03/01/2028</t>
        </is>
      </c>
      <c r="C49" s="45">
        <f>F48</f>
        <v/>
      </c>
      <c r="D49" s="45">
        <f>MAX(0,C49*$B$7/12)</f>
        <v/>
      </c>
      <c r="E49" s="45">
        <f>MAX(0,MIN(C49,$B$8-D49))</f>
        <v/>
      </c>
      <c r="F49" s="45">
        <f>MAX(0,C49-E49)</f>
        <v/>
      </c>
      <c r="G49" s="37" t="n">
        <v>2028</v>
      </c>
    </row>
    <row r="50">
      <c r="A50" s="37" t="n">
        <v>28</v>
      </c>
      <c r="B50" s="37" t="inlineStr">
        <is>
          <t>04/01/2028</t>
        </is>
      </c>
      <c r="C50" s="45">
        <f>F49</f>
        <v/>
      </c>
      <c r="D50" s="45">
        <f>MAX(0,C50*$B$7/12)</f>
        <v/>
      </c>
      <c r="E50" s="45">
        <f>MAX(0,MIN(C50,$B$8-D50))</f>
        <v/>
      </c>
      <c r="F50" s="45">
        <f>MAX(0,C50-E50)</f>
        <v/>
      </c>
      <c r="G50" s="37" t="n">
        <v>2028</v>
      </c>
    </row>
    <row r="51">
      <c r="A51" s="37" t="n">
        <v>29</v>
      </c>
      <c r="B51" s="37" t="inlineStr">
        <is>
          <t>05/01/2028</t>
        </is>
      </c>
      <c r="C51" s="45">
        <f>F50</f>
        <v/>
      </c>
      <c r="D51" s="45">
        <f>MAX(0,C51*$B$7/12)</f>
        <v/>
      </c>
      <c r="E51" s="45">
        <f>MAX(0,MIN(C51,$B$8-D51))</f>
        <v/>
      </c>
      <c r="F51" s="45">
        <f>MAX(0,C51-E51)</f>
        <v/>
      </c>
      <c r="G51" s="37" t="n">
        <v>2028</v>
      </c>
    </row>
    <row r="52">
      <c r="A52" s="37" t="n">
        <v>30</v>
      </c>
      <c r="B52" s="37" t="inlineStr">
        <is>
          <t>06/01/2028</t>
        </is>
      </c>
      <c r="C52" s="45">
        <f>F51</f>
        <v/>
      </c>
      <c r="D52" s="45">
        <f>MAX(0,C52*$B$7/12)</f>
        <v/>
      </c>
      <c r="E52" s="45">
        <f>MAX(0,MIN(C52,$B$8-D52))</f>
        <v/>
      </c>
      <c r="F52" s="45">
        <f>MAX(0,C52-E52)</f>
        <v/>
      </c>
      <c r="G52" s="37" t="n">
        <v>2028</v>
      </c>
    </row>
    <row r="53">
      <c r="A53" s="37" t="n">
        <v>31</v>
      </c>
      <c r="B53" s="37" t="inlineStr">
        <is>
          <t>07/01/2028</t>
        </is>
      </c>
      <c r="C53" s="45">
        <f>F52</f>
        <v/>
      </c>
      <c r="D53" s="45">
        <f>MAX(0,C53*$B$7/12)</f>
        <v/>
      </c>
      <c r="E53" s="45">
        <f>MAX(0,MIN(C53,$B$8-D53))</f>
        <v/>
      </c>
      <c r="F53" s="45">
        <f>MAX(0,C53-E53)</f>
        <v/>
      </c>
      <c r="G53" s="37" t="n">
        <v>2028</v>
      </c>
    </row>
    <row r="54">
      <c r="A54" s="37" t="n">
        <v>32</v>
      </c>
      <c r="B54" s="37" t="inlineStr">
        <is>
          <t>08/01/2028</t>
        </is>
      </c>
      <c r="C54" s="45">
        <f>F53</f>
        <v/>
      </c>
      <c r="D54" s="45">
        <f>MAX(0,C54*$B$7/12)</f>
        <v/>
      </c>
      <c r="E54" s="45">
        <f>MAX(0,MIN(C54,$B$8-D54))</f>
        <v/>
      </c>
      <c r="F54" s="45">
        <f>MAX(0,C54-E54)</f>
        <v/>
      </c>
      <c r="G54" s="37" t="n">
        <v>2028</v>
      </c>
    </row>
    <row r="55">
      <c r="A55" s="37" t="n">
        <v>33</v>
      </c>
      <c r="B55" s="37" t="inlineStr">
        <is>
          <t>09/01/2028</t>
        </is>
      </c>
      <c r="C55" s="45">
        <f>F54</f>
        <v/>
      </c>
      <c r="D55" s="45">
        <f>MAX(0,C55*$B$7/12)</f>
        <v/>
      </c>
      <c r="E55" s="45">
        <f>MAX(0,MIN(C55,$B$8-D55))</f>
        <v/>
      </c>
      <c r="F55" s="45">
        <f>MAX(0,C55-E55)</f>
        <v/>
      </c>
      <c r="G55" s="37" t="n">
        <v>2028</v>
      </c>
    </row>
    <row r="56">
      <c r="A56" s="37" t="n">
        <v>34</v>
      </c>
      <c r="B56" s="37" t="inlineStr">
        <is>
          <t>10/01/2028</t>
        </is>
      </c>
      <c r="C56" s="45">
        <f>F55</f>
        <v/>
      </c>
      <c r="D56" s="45">
        <f>MAX(0,C56*$B$7/12)</f>
        <v/>
      </c>
      <c r="E56" s="45">
        <f>MAX(0,MIN(C56,$B$8-D56))</f>
        <v/>
      </c>
      <c r="F56" s="45">
        <f>MAX(0,C56-E56)</f>
        <v/>
      </c>
      <c r="G56" s="37" t="n">
        <v>2028</v>
      </c>
    </row>
    <row r="57">
      <c r="A57" s="37" t="n">
        <v>35</v>
      </c>
      <c r="B57" s="37" t="inlineStr">
        <is>
          <t>11/01/2028</t>
        </is>
      </c>
      <c r="C57" s="45">
        <f>F56</f>
        <v/>
      </c>
      <c r="D57" s="45">
        <f>MAX(0,C57*$B$7/12)</f>
        <v/>
      </c>
      <c r="E57" s="45">
        <f>MAX(0,MIN(C57,$B$8-D57))</f>
        <v/>
      </c>
      <c r="F57" s="45">
        <f>MAX(0,C57-E57)</f>
        <v/>
      </c>
      <c r="G57" s="37" t="n">
        <v>2028</v>
      </c>
    </row>
    <row r="58">
      <c r="A58" s="37" t="n">
        <v>36</v>
      </c>
      <c r="B58" s="37" t="inlineStr">
        <is>
          <t>12/01/2028</t>
        </is>
      </c>
      <c r="C58" s="45">
        <f>F57</f>
        <v/>
      </c>
      <c r="D58" s="45">
        <f>MAX(0,C58*$B$7/12)</f>
        <v/>
      </c>
      <c r="E58" s="45">
        <f>MAX(0,MIN(C58,$B$8-D58))</f>
        <v/>
      </c>
      <c r="F58" s="45">
        <f>MAX(0,C58-E58)</f>
        <v/>
      </c>
      <c r="G58" s="37" t="n">
        <v>2028</v>
      </c>
    </row>
    <row r="60">
      <c r="A60" s="49" t="inlineStr">
        <is>
          <t>ANNUAL SUMMARY</t>
        </is>
      </c>
    </row>
    <row r="61">
      <c r="A61" s="50" t="inlineStr">
        <is>
          <t>Year</t>
        </is>
      </c>
      <c r="C61" s="50" t="inlineStr">
        <is>
          <t>Beg Balance</t>
        </is>
      </c>
      <c r="D61" s="50" t="inlineStr">
        <is>
          <t>Total Interest</t>
        </is>
      </c>
      <c r="E61" s="50" t="inlineStr">
        <is>
          <t>Total Principal</t>
        </is>
      </c>
      <c r="F61" s="50" t="inlineStr">
        <is>
          <t>End Balance</t>
        </is>
      </c>
    </row>
    <row r="62">
      <c r="A62" s="37" t="n">
        <v>2026</v>
      </c>
      <c r="C62" s="39">
        <f>C23</f>
        <v/>
      </c>
      <c r="D62" s="39">
        <f>SUM(D23:D34)</f>
        <v/>
      </c>
      <c r="E62" s="39">
        <f>SUM(E23:E34)</f>
        <v/>
      </c>
      <c r="F62" s="39">
        <f>F34</f>
        <v/>
      </c>
    </row>
    <row r="63">
      <c r="A63" s="37" t="n">
        <v>2027</v>
      </c>
      <c r="C63" s="39">
        <f>C35</f>
        <v/>
      </c>
      <c r="D63" s="39">
        <f>SUM(D35:D46)</f>
        <v/>
      </c>
      <c r="E63" s="39">
        <f>SUM(E35:E46)</f>
        <v/>
      </c>
      <c r="F63" s="39">
        <f>F46</f>
        <v/>
      </c>
    </row>
    <row r="64">
      <c r="A64" s="37" t="n">
        <v>2028</v>
      </c>
      <c r="C64" s="39">
        <f>C47</f>
        <v/>
      </c>
      <c r="D64" s="39">
        <f>SUM(D47:D58)</f>
        <v/>
      </c>
      <c r="E64" s="39">
        <f>SUM(E47:E58)</f>
        <v/>
      </c>
      <c r="F64" s="39">
        <f>F58</f>
        <v/>
      </c>
    </row>
  </sheetData>
  <mergeCells count="8">
    <mergeCell ref="A13:G13"/>
    <mergeCell ref="A14:G14"/>
    <mergeCell ref="A17:G17"/>
    <mergeCell ref="A18:G18"/>
    <mergeCell ref="A12:G12"/>
    <mergeCell ref="A16:G16"/>
    <mergeCell ref="A15:G15"/>
    <mergeCell ref="A60:G60"/>
  </mergeCells>
  <pageMargins left="0.75" right="0.75" top="1" bottom="1" header="0.5" footer="0.5"/>
  <legacyDrawing xmlns:r="http://schemas.openxmlformats.org/officeDocument/2006/relationships" r:id="anysvml"/>
</worksheet>
</file>

<file path=xl/worksheets/sheet63.xml><?xml version="1.0" encoding="utf-8"?>
<worksheet xmlns="http://schemas.openxmlformats.org/spreadsheetml/2006/main">
  <sheetPr>
    <tabColor rgb="00808080"/>
    <outlinePr summaryBelow="1" summaryRight="1"/>
    <pageSetUpPr/>
  </sheetPr>
  <dimension ref="A1:G66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6" customWidth="1" min="3" max="3"/>
    <col width="14" customWidth="1" min="4" max="4"/>
    <col width="14" customWidth="1" min="5" max="5"/>
    <col width="16" customWidth="1" min="6" max="6"/>
    <col width="20" customWidth="1" min="7" max="7"/>
  </cols>
  <sheetData>
    <row r="1">
      <c r="A1" s="1" t="inlineStr">
        <is>
          <t>Lender</t>
        </is>
      </c>
      <c r="B1" t="inlineStr">
        <is>
          <t>BMO</t>
        </is>
      </c>
    </row>
    <row r="2">
      <c r="A2" s="1" t="inlineStr">
        <is>
          <t>Loan ID</t>
        </is>
      </c>
      <c r="B2" t="inlineStr">
        <is>
          <t>05-2934-005-000-00</t>
        </is>
      </c>
    </row>
    <row r="3">
      <c r="A3" s="1" t="inlineStr">
        <is>
          <t>Loan Number</t>
        </is>
      </c>
      <c r="B3" t="inlineStr">
        <is>
          <t>9369093001</t>
        </is>
      </c>
    </row>
    <row r="4">
      <c r="A4" s="1" t="inlineStr">
        <is>
          <t>Description</t>
        </is>
      </c>
      <c r="B4" t="inlineStr">
        <is>
          <t>3 Peterbilt 579s</t>
        </is>
      </c>
    </row>
    <row r="5">
      <c r="A5" s="1" t="inlineStr">
        <is>
          <t>Collateral</t>
        </is>
      </c>
      <c r="B5" t="inlineStr">
        <is>
          <t>Equipment - Semi Trucks</t>
        </is>
      </c>
    </row>
    <row r="6">
      <c r="A6" s="1" t="inlineStr">
        <is>
          <t>Opening Balance (12/31/2025)</t>
        </is>
      </c>
      <c r="B6" s="26" t="n">
        <v>342131</v>
      </c>
    </row>
    <row r="7">
      <c r="A7" s="1" t="inlineStr">
        <is>
          <t>Annual Interest Rate</t>
        </is>
      </c>
      <c r="B7" s="6" t="n">
        <v>0.0639</v>
      </c>
    </row>
    <row r="8">
      <c r="A8" s="1" t="inlineStr">
        <is>
          <t>Monthly Payment</t>
        </is>
      </c>
      <c r="B8" s="26" t="n">
        <v>10209</v>
      </c>
    </row>
    <row r="9">
      <c r="A9" s="1" t="inlineStr">
        <is>
          <t>Origination Date</t>
        </is>
      </c>
      <c r="B9" t="inlineStr">
        <is>
          <t>2023-06-15</t>
        </is>
      </c>
    </row>
    <row r="10">
      <c r="A10" s="1" t="inlineStr">
        <is>
          <t>Maturity Date</t>
        </is>
      </c>
      <c r="B10" t="inlineStr">
        <is>
          <t>2029-01-01</t>
        </is>
      </c>
    </row>
    <row r="12">
      <c r="A12" s="47" t="inlineStr">
        <is>
          <t>LOAN ANALYSIS</t>
        </is>
      </c>
    </row>
    <row r="13">
      <c r="A13" s="9" t="inlineStr">
        <is>
          <t>Loan Type: AMORTIZING - Standard equipment loan with fixed monthly payments</t>
        </is>
      </c>
    </row>
    <row r="14">
      <c r="A14" s="9" t="inlineStr">
        <is>
          <t>Collateral: Equipment - Semi Trucks</t>
        </is>
      </c>
    </row>
    <row r="15">
      <c r="A15" s="9" t="inlineStr">
        <is>
          <t>Original Amount: $564,293.19 originated 2023-06-15</t>
        </is>
      </c>
    </row>
    <row r="16">
      <c r="A16" s="9" t="inlineStr">
        <is>
          <t>Remaining Term: Payments until maturity 2029-01-01</t>
        </is>
      </c>
    </row>
    <row r="17">
      <c r="A17" s="9" t="inlineStr">
        <is>
          <t>Amortization: Monthly interest accrual on declining balance</t>
        </is>
      </c>
    </row>
    <row r="18">
      <c r="A18" s="9" t="inlineStr">
        <is>
          <t>Note: MAX(0,...) formulas prevent negative values at loan payoff</t>
        </is>
      </c>
    </row>
    <row r="22">
      <c r="A22" s="48" t="inlineStr">
        <is>
          <t>Month #</t>
        </is>
      </c>
      <c r="B22" s="48" t="inlineStr">
        <is>
          <t>Date</t>
        </is>
      </c>
      <c r="C22" s="48" t="inlineStr">
        <is>
          <t>Opening Balance</t>
        </is>
      </c>
      <c r="D22" s="48" t="inlineStr">
        <is>
          <t>Interest</t>
        </is>
      </c>
      <c r="E22" s="48" t="inlineStr">
        <is>
          <t>Principal</t>
        </is>
      </c>
      <c r="F22" s="48" t="inlineStr">
        <is>
          <t>Closing Balance</t>
        </is>
      </c>
      <c r="G22" s="48" t="inlineStr">
        <is>
          <t>Year</t>
        </is>
      </c>
    </row>
    <row r="23">
      <c r="A23" s="37" t="n">
        <v>1</v>
      </c>
      <c r="B23" s="37" t="inlineStr">
        <is>
          <t>01/01/2026</t>
        </is>
      </c>
      <c r="C23" s="45">
        <f>$B$6</f>
        <v/>
      </c>
      <c r="D23" s="45">
        <f>MAX(0,C23*$B$7/12)</f>
        <v/>
      </c>
      <c r="E23" s="45">
        <f>MAX(0,MIN(C23,$B$8-D23))</f>
        <v/>
      </c>
      <c r="F23" s="45">
        <f>MAX(0,C23-E23)</f>
        <v/>
      </c>
      <c r="G23" s="37" t="n">
        <v>2026</v>
      </c>
    </row>
    <row r="24">
      <c r="A24" s="37" t="n">
        <v>2</v>
      </c>
      <c r="B24" s="37" t="inlineStr">
        <is>
          <t>02/01/2026</t>
        </is>
      </c>
      <c r="C24" s="45">
        <f>F23</f>
        <v/>
      </c>
      <c r="D24" s="45">
        <f>MAX(0,C24*$B$7/12)</f>
        <v/>
      </c>
      <c r="E24" s="45">
        <f>MAX(0,MIN(C24,$B$8-D24))</f>
        <v/>
      </c>
      <c r="F24" s="45">
        <f>MAX(0,C24-E24)</f>
        <v/>
      </c>
      <c r="G24" s="37" t="n">
        <v>2026</v>
      </c>
    </row>
    <row r="25">
      <c r="A25" s="37" t="n">
        <v>3</v>
      </c>
      <c r="B25" s="37" t="inlineStr">
        <is>
          <t>03/01/2026</t>
        </is>
      </c>
      <c r="C25" s="45">
        <f>F24</f>
        <v/>
      </c>
      <c r="D25" s="45">
        <f>MAX(0,C25*$B$7/12)</f>
        <v/>
      </c>
      <c r="E25" s="45">
        <f>MAX(0,MIN(C25,$B$8-D25))</f>
        <v/>
      </c>
      <c r="F25" s="45">
        <f>MAX(0,C25-E25)</f>
        <v/>
      </c>
      <c r="G25" s="37" t="n">
        <v>2026</v>
      </c>
    </row>
    <row r="26">
      <c r="A26" s="37" t="n">
        <v>4</v>
      </c>
      <c r="B26" s="37" t="inlineStr">
        <is>
          <t>04/01/2026</t>
        </is>
      </c>
      <c r="C26" s="45">
        <f>F25</f>
        <v/>
      </c>
      <c r="D26" s="45">
        <f>MAX(0,C26*$B$7/12)</f>
        <v/>
      </c>
      <c r="E26" s="45">
        <f>MAX(0,MIN(C26,$B$8-D26))</f>
        <v/>
      </c>
      <c r="F26" s="45">
        <f>MAX(0,C26-E26)</f>
        <v/>
      </c>
      <c r="G26" s="37" t="n">
        <v>2026</v>
      </c>
    </row>
    <row r="27">
      <c r="A27" s="37" t="n">
        <v>5</v>
      </c>
      <c r="B27" s="37" t="inlineStr">
        <is>
          <t>05/01/2026</t>
        </is>
      </c>
      <c r="C27" s="45">
        <f>F26</f>
        <v/>
      </c>
      <c r="D27" s="45">
        <f>MAX(0,C27*$B$7/12)</f>
        <v/>
      </c>
      <c r="E27" s="45">
        <f>MAX(0,MIN(C27,$B$8-D27))</f>
        <v/>
      </c>
      <c r="F27" s="45">
        <f>MAX(0,C27-E27)</f>
        <v/>
      </c>
      <c r="G27" s="37" t="n">
        <v>2026</v>
      </c>
    </row>
    <row r="28">
      <c r="A28" s="37" t="n">
        <v>6</v>
      </c>
      <c r="B28" s="37" t="inlineStr">
        <is>
          <t>06/01/2026</t>
        </is>
      </c>
      <c r="C28" s="45">
        <f>F27</f>
        <v/>
      </c>
      <c r="D28" s="45">
        <f>MAX(0,C28*$B$7/12)</f>
        <v/>
      </c>
      <c r="E28" s="45">
        <f>MAX(0,MIN(C28,$B$8-D28))</f>
        <v/>
      </c>
      <c r="F28" s="45">
        <f>MAX(0,C28-E28)</f>
        <v/>
      </c>
      <c r="G28" s="37" t="n">
        <v>2026</v>
      </c>
    </row>
    <row r="29">
      <c r="A29" s="37" t="n">
        <v>7</v>
      </c>
      <c r="B29" s="37" t="inlineStr">
        <is>
          <t>07/01/2026</t>
        </is>
      </c>
      <c r="C29" s="45">
        <f>F28</f>
        <v/>
      </c>
      <c r="D29" s="45">
        <f>MAX(0,C29*$B$7/12)</f>
        <v/>
      </c>
      <c r="E29" s="45">
        <f>MAX(0,MIN(C29,$B$8-D29))</f>
        <v/>
      </c>
      <c r="F29" s="45">
        <f>MAX(0,C29-E29)</f>
        <v/>
      </c>
      <c r="G29" s="37" t="n">
        <v>2026</v>
      </c>
    </row>
    <row r="30">
      <c r="A30" s="37" t="n">
        <v>8</v>
      </c>
      <c r="B30" s="37" t="inlineStr">
        <is>
          <t>08/01/2026</t>
        </is>
      </c>
      <c r="C30" s="45">
        <f>F29</f>
        <v/>
      </c>
      <c r="D30" s="45">
        <f>MAX(0,C30*$B$7/12)</f>
        <v/>
      </c>
      <c r="E30" s="45">
        <f>MAX(0,MIN(C30,$B$8-D30))</f>
        <v/>
      </c>
      <c r="F30" s="45">
        <f>MAX(0,C30-E30)</f>
        <v/>
      </c>
      <c r="G30" s="37" t="n">
        <v>2026</v>
      </c>
    </row>
    <row r="31">
      <c r="A31" s="37" t="n">
        <v>9</v>
      </c>
      <c r="B31" s="37" t="inlineStr">
        <is>
          <t>09/01/2026</t>
        </is>
      </c>
      <c r="C31" s="45">
        <f>F30</f>
        <v/>
      </c>
      <c r="D31" s="45">
        <f>MAX(0,C31*$B$7/12)</f>
        <v/>
      </c>
      <c r="E31" s="45">
        <f>MAX(0,MIN(C31,$B$8-D31))</f>
        <v/>
      </c>
      <c r="F31" s="45">
        <f>MAX(0,C31-E31)</f>
        <v/>
      </c>
      <c r="G31" s="37" t="n">
        <v>2026</v>
      </c>
    </row>
    <row r="32">
      <c r="A32" s="37" t="n">
        <v>10</v>
      </c>
      <c r="B32" s="37" t="inlineStr">
        <is>
          <t>10/01/2026</t>
        </is>
      </c>
      <c r="C32" s="45">
        <f>F31</f>
        <v/>
      </c>
      <c r="D32" s="45">
        <f>MAX(0,C32*$B$7/12)</f>
        <v/>
      </c>
      <c r="E32" s="45">
        <f>MAX(0,MIN(C32,$B$8-D32))</f>
        <v/>
      </c>
      <c r="F32" s="45">
        <f>MAX(0,C32-E32)</f>
        <v/>
      </c>
      <c r="G32" s="37" t="n">
        <v>2026</v>
      </c>
    </row>
    <row r="33">
      <c r="A33" s="37" t="n">
        <v>11</v>
      </c>
      <c r="B33" s="37" t="inlineStr">
        <is>
          <t>11/01/2026</t>
        </is>
      </c>
      <c r="C33" s="45">
        <f>F32</f>
        <v/>
      </c>
      <c r="D33" s="45">
        <f>MAX(0,C33*$B$7/12)</f>
        <v/>
      </c>
      <c r="E33" s="45">
        <f>MAX(0,MIN(C33,$B$8-D33))</f>
        <v/>
      </c>
      <c r="F33" s="45">
        <f>MAX(0,C33-E33)</f>
        <v/>
      </c>
      <c r="G33" s="37" t="n">
        <v>2026</v>
      </c>
    </row>
    <row r="34">
      <c r="A34" s="37" t="n">
        <v>12</v>
      </c>
      <c r="B34" s="37" t="inlineStr">
        <is>
          <t>12/01/2026</t>
        </is>
      </c>
      <c r="C34" s="45">
        <f>F33</f>
        <v/>
      </c>
      <c r="D34" s="45">
        <f>MAX(0,C34*$B$7/12)</f>
        <v/>
      </c>
      <c r="E34" s="45">
        <f>MAX(0,MIN(C34,$B$8-D34))</f>
        <v/>
      </c>
      <c r="F34" s="45">
        <f>MAX(0,C34-E34)</f>
        <v/>
      </c>
      <c r="G34" s="37" t="n">
        <v>2026</v>
      </c>
    </row>
    <row r="35">
      <c r="A35" s="37" t="n">
        <v>13</v>
      </c>
      <c r="B35" s="37" t="inlineStr">
        <is>
          <t>01/01/2027</t>
        </is>
      </c>
      <c r="C35" s="45">
        <f>F34</f>
        <v/>
      </c>
      <c r="D35" s="45">
        <f>MAX(0,C35*$B$7/12)</f>
        <v/>
      </c>
      <c r="E35" s="45">
        <f>MAX(0,MIN(C35,$B$8-D35))</f>
        <v/>
      </c>
      <c r="F35" s="45">
        <f>MAX(0,C35-E35)</f>
        <v/>
      </c>
      <c r="G35" s="37" t="n">
        <v>2027</v>
      </c>
    </row>
    <row r="36">
      <c r="A36" s="37" t="n">
        <v>14</v>
      </c>
      <c r="B36" s="37" t="inlineStr">
        <is>
          <t>02/01/2027</t>
        </is>
      </c>
      <c r="C36" s="45">
        <f>F35</f>
        <v/>
      </c>
      <c r="D36" s="45">
        <f>MAX(0,C36*$B$7/12)</f>
        <v/>
      </c>
      <c r="E36" s="45">
        <f>MAX(0,MIN(C36,$B$8-D36))</f>
        <v/>
      </c>
      <c r="F36" s="45">
        <f>MAX(0,C36-E36)</f>
        <v/>
      </c>
      <c r="G36" s="37" t="n">
        <v>2027</v>
      </c>
    </row>
    <row r="37">
      <c r="A37" s="37" t="n">
        <v>15</v>
      </c>
      <c r="B37" s="37" t="inlineStr">
        <is>
          <t>03/01/2027</t>
        </is>
      </c>
      <c r="C37" s="45">
        <f>F36</f>
        <v/>
      </c>
      <c r="D37" s="45">
        <f>MAX(0,C37*$B$7/12)</f>
        <v/>
      </c>
      <c r="E37" s="45">
        <f>MAX(0,MIN(C37,$B$8-D37))</f>
        <v/>
      </c>
      <c r="F37" s="45">
        <f>MAX(0,C37-E37)</f>
        <v/>
      </c>
      <c r="G37" s="37" t="n">
        <v>2027</v>
      </c>
    </row>
    <row r="38">
      <c r="A38" s="37" t="n">
        <v>16</v>
      </c>
      <c r="B38" s="37" t="inlineStr">
        <is>
          <t>04/01/2027</t>
        </is>
      </c>
      <c r="C38" s="45">
        <f>F37</f>
        <v/>
      </c>
      <c r="D38" s="45">
        <f>MAX(0,C38*$B$7/12)</f>
        <v/>
      </c>
      <c r="E38" s="45">
        <f>MAX(0,MIN(C38,$B$8-D38))</f>
        <v/>
      </c>
      <c r="F38" s="45">
        <f>MAX(0,C38-E38)</f>
        <v/>
      </c>
      <c r="G38" s="37" t="n">
        <v>2027</v>
      </c>
    </row>
    <row r="39">
      <c r="A39" s="37" t="n">
        <v>17</v>
      </c>
      <c r="B39" s="37" t="inlineStr">
        <is>
          <t>05/01/2027</t>
        </is>
      </c>
      <c r="C39" s="45">
        <f>F38</f>
        <v/>
      </c>
      <c r="D39" s="45">
        <f>MAX(0,C39*$B$7/12)</f>
        <v/>
      </c>
      <c r="E39" s="45">
        <f>MAX(0,MIN(C39,$B$8-D39))</f>
        <v/>
      </c>
      <c r="F39" s="45">
        <f>MAX(0,C39-E39)</f>
        <v/>
      </c>
      <c r="G39" s="37" t="n">
        <v>2027</v>
      </c>
    </row>
    <row r="40">
      <c r="A40" s="37" t="n">
        <v>18</v>
      </c>
      <c r="B40" s="37" t="inlineStr">
        <is>
          <t>06/01/2027</t>
        </is>
      </c>
      <c r="C40" s="45">
        <f>F39</f>
        <v/>
      </c>
      <c r="D40" s="45">
        <f>MAX(0,C40*$B$7/12)</f>
        <v/>
      </c>
      <c r="E40" s="45">
        <f>MAX(0,MIN(C40,$B$8-D40))</f>
        <v/>
      </c>
      <c r="F40" s="45">
        <f>MAX(0,C40-E40)</f>
        <v/>
      </c>
      <c r="G40" s="37" t="n">
        <v>2027</v>
      </c>
    </row>
    <row r="41">
      <c r="A41" s="37" t="n">
        <v>19</v>
      </c>
      <c r="B41" s="37" t="inlineStr">
        <is>
          <t>07/01/2027</t>
        </is>
      </c>
      <c r="C41" s="45">
        <f>F40</f>
        <v/>
      </c>
      <c r="D41" s="45">
        <f>MAX(0,C41*$B$7/12)</f>
        <v/>
      </c>
      <c r="E41" s="45">
        <f>MAX(0,MIN(C41,$B$8-D41))</f>
        <v/>
      </c>
      <c r="F41" s="45">
        <f>MAX(0,C41-E41)</f>
        <v/>
      </c>
      <c r="G41" s="37" t="n">
        <v>2027</v>
      </c>
    </row>
    <row r="42">
      <c r="A42" s="37" t="n">
        <v>20</v>
      </c>
      <c r="B42" s="37" t="inlineStr">
        <is>
          <t>08/01/2027</t>
        </is>
      </c>
      <c r="C42" s="45">
        <f>F41</f>
        <v/>
      </c>
      <c r="D42" s="45">
        <f>MAX(0,C42*$B$7/12)</f>
        <v/>
      </c>
      <c r="E42" s="45">
        <f>MAX(0,MIN(C42,$B$8-D42))</f>
        <v/>
      </c>
      <c r="F42" s="45">
        <f>MAX(0,C42-E42)</f>
        <v/>
      </c>
      <c r="G42" s="37" t="n">
        <v>2027</v>
      </c>
    </row>
    <row r="43">
      <c r="A43" s="37" t="n">
        <v>21</v>
      </c>
      <c r="B43" s="37" t="inlineStr">
        <is>
          <t>09/01/2027</t>
        </is>
      </c>
      <c r="C43" s="45">
        <f>F42</f>
        <v/>
      </c>
      <c r="D43" s="45">
        <f>MAX(0,C43*$B$7/12)</f>
        <v/>
      </c>
      <c r="E43" s="45">
        <f>MAX(0,MIN(C43,$B$8-D43))</f>
        <v/>
      </c>
      <c r="F43" s="45">
        <f>MAX(0,C43-E43)</f>
        <v/>
      </c>
      <c r="G43" s="37" t="n">
        <v>2027</v>
      </c>
    </row>
    <row r="44">
      <c r="A44" s="37" t="n">
        <v>22</v>
      </c>
      <c r="B44" s="37" t="inlineStr">
        <is>
          <t>10/01/2027</t>
        </is>
      </c>
      <c r="C44" s="45">
        <f>F43</f>
        <v/>
      </c>
      <c r="D44" s="45">
        <f>MAX(0,C44*$B$7/12)</f>
        <v/>
      </c>
      <c r="E44" s="45">
        <f>MAX(0,MIN(C44,$B$8-D44))</f>
        <v/>
      </c>
      <c r="F44" s="45">
        <f>MAX(0,C44-E44)</f>
        <v/>
      </c>
      <c r="G44" s="37" t="n">
        <v>2027</v>
      </c>
    </row>
    <row r="45">
      <c r="A45" s="37" t="n">
        <v>23</v>
      </c>
      <c r="B45" s="37" t="inlineStr">
        <is>
          <t>11/01/2027</t>
        </is>
      </c>
      <c r="C45" s="45">
        <f>F44</f>
        <v/>
      </c>
      <c r="D45" s="45">
        <f>MAX(0,C45*$B$7/12)</f>
        <v/>
      </c>
      <c r="E45" s="45">
        <f>MAX(0,MIN(C45,$B$8-D45))</f>
        <v/>
      </c>
      <c r="F45" s="45">
        <f>MAX(0,C45-E45)</f>
        <v/>
      </c>
      <c r="G45" s="37" t="n">
        <v>2027</v>
      </c>
    </row>
    <row r="46">
      <c r="A46" s="37" t="n">
        <v>24</v>
      </c>
      <c r="B46" s="37" t="inlineStr">
        <is>
          <t>12/01/2027</t>
        </is>
      </c>
      <c r="C46" s="45">
        <f>F45</f>
        <v/>
      </c>
      <c r="D46" s="45">
        <f>MAX(0,C46*$B$7/12)</f>
        <v/>
      </c>
      <c r="E46" s="45">
        <f>MAX(0,MIN(C46,$B$8-D46))</f>
        <v/>
      </c>
      <c r="F46" s="45">
        <f>MAX(0,C46-E46)</f>
        <v/>
      </c>
      <c r="G46" s="37" t="n">
        <v>2027</v>
      </c>
    </row>
    <row r="47">
      <c r="A47" s="37" t="n">
        <v>25</v>
      </c>
      <c r="B47" s="37" t="inlineStr">
        <is>
          <t>01/01/2028</t>
        </is>
      </c>
      <c r="C47" s="45">
        <f>F46</f>
        <v/>
      </c>
      <c r="D47" s="45">
        <f>MAX(0,C47*$B$7/12)</f>
        <v/>
      </c>
      <c r="E47" s="45">
        <f>MAX(0,MIN(C47,$B$8-D47))</f>
        <v/>
      </c>
      <c r="F47" s="45">
        <f>MAX(0,C47-E47)</f>
        <v/>
      </c>
      <c r="G47" s="37" t="n">
        <v>2028</v>
      </c>
    </row>
    <row r="48">
      <c r="A48" s="37" t="n">
        <v>26</v>
      </c>
      <c r="B48" s="37" t="inlineStr">
        <is>
          <t>02/01/2028</t>
        </is>
      </c>
      <c r="C48" s="45">
        <f>F47</f>
        <v/>
      </c>
      <c r="D48" s="45">
        <f>MAX(0,C48*$B$7/12)</f>
        <v/>
      </c>
      <c r="E48" s="45">
        <f>MAX(0,MIN(C48,$B$8-D48))</f>
        <v/>
      </c>
      <c r="F48" s="45">
        <f>MAX(0,C48-E48)</f>
        <v/>
      </c>
      <c r="G48" s="37" t="n">
        <v>2028</v>
      </c>
    </row>
    <row r="49">
      <c r="A49" s="37" t="n">
        <v>27</v>
      </c>
      <c r="B49" s="37" t="inlineStr">
        <is>
          <t>03/01/2028</t>
        </is>
      </c>
      <c r="C49" s="45">
        <f>F48</f>
        <v/>
      </c>
      <c r="D49" s="45">
        <f>MAX(0,C49*$B$7/12)</f>
        <v/>
      </c>
      <c r="E49" s="45">
        <f>MAX(0,MIN(C49,$B$8-D49))</f>
        <v/>
      </c>
      <c r="F49" s="45">
        <f>MAX(0,C49-E49)</f>
        <v/>
      </c>
      <c r="G49" s="37" t="n">
        <v>2028</v>
      </c>
    </row>
    <row r="50">
      <c r="A50" s="37" t="n">
        <v>28</v>
      </c>
      <c r="B50" s="37" t="inlineStr">
        <is>
          <t>04/01/2028</t>
        </is>
      </c>
      <c r="C50" s="45">
        <f>F49</f>
        <v/>
      </c>
      <c r="D50" s="45">
        <f>MAX(0,C50*$B$7/12)</f>
        <v/>
      </c>
      <c r="E50" s="45">
        <f>MAX(0,MIN(C50,$B$8-D50))</f>
        <v/>
      </c>
      <c r="F50" s="45">
        <f>MAX(0,C50-E50)</f>
        <v/>
      </c>
      <c r="G50" s="37" t="n">
        <v>2028</v>
      </c>
    </row>
    <row r="51">
      <c r="A51" s="37" t="n">
        <v>29</v>
      </c>
      <c r="B51" s="37" t="inlineStr">
        <is>
          <t>05/01/2028</t>
        </is>
      </c>
      <c r="C51" s="45">
        <f>F50</f>
        <v/>
      </c>
      <c r="D51" s="45">
        <f>MAX(0,C51*$B$7/12)</f>
        <v/>
      </c>
      <c r="E51" s="45">
        <f>MAX(0,MIN(C51,$B$8-D51))</f>
        <v/>
      </c>
      <c r="F51" s="45">
        <f>MAX(0,C51-E51)</f>
        <v/>
      </c>
      <c r="G51" s="37" t="n">
        <v>2028</v>
      </c>
    </row>
    <row r="52">
      <c r="A52" s="37" t="n">
        <v>30</v>
      </c>
      <c r="B52" s="37" t="inlineStr">
        <is>
          <t>06/01/2028</t>
        </is>
      </c>
      <c r="C52" s="45">
        <f>F51</f>
        <v/>
      </c>
      <c r="D52" s="45">
        <f>MAX(0,C52*$B$7/12)</f>
        <v/>
      </c>
      <c r="E52" s="45">
        <f>MAX(0,MIN(C52,$B$8-D52))</f>
        <v/>
      </c>
      <c r="F52" s="45">
        <f>MAX(0,C52-E52)</f>
        <v/>
      </c>
      <c r="G52" s="37" t="n">
        <v>2028</v>
      </c>
    </row>
    <row r="53">
      <c r="A53" s="37" t="n">
        <v>31</v>
      </c>
      <c r="B53" s="37" t="inlineStr">
        <is>
          <t>07/01/2028</t>
        </is>
      </c>
      <c r="C53" s="45">
        <f>F52</f>
        <v/>
      </c>
      <c r="D53" s="45">
        <f>MAX(0,C53*$B$7/12)</f>
        <v/>
      </c>
      <c r="E53" s="45">
        <f>MAX(0,MIN(C53,$B$8-D53))</f>
        <v/>
      </c>
      <c r="F53" s="45">
        <f>MAX(0,C53-E53)</f>
        <v/>
      </c>
      <c r="G53" s="37" t="n">
        <v>2028</v>
      </c>
    </row>
    <row r="54">
      <c r="A54" s="37" t="n">
        <v>32</v>
      </c>
      <c r="B54" s="37" t="inlineStr">
        <is>
          <t>08/01/2028</t>
        </is>
      </c>
      <c r="C54" s="45">
        <f>F53</f>
        <v/>
      </c>
      <c r="D54" s="45">
        <f>MAX(0,C54*$B$7/12)</f>
        <v/>
      </c>
      <c r="E54" s="45">
        <f>MAX(0,MIN(C54,$B$8-D54))</f>
        <v/>
      </c>
      <c r="F54" s="45">
        <f>MAX(0,C54-E54)</f>
        <v/>
      </c>
      <c r="G54" s="37" t="n">
        <v>2028</v>
      </c>
    </row>
    <row r="55">
      <c r="A55" s="37" t="n">
        <v>33</v>
      </c>
      <c r="B55" s="37" t="inlineStr">
        <is>
          <t>09/01/2028</t>
        </is>
      </c>
      <c r="C55" s="45">
        <f>F54</f>
        <v/>
      </c>
      <c r="D55" s="45">
        <f>MAX(0,C55*$B$7/12)</f>
        <v/>
      </c>
      <c r="E55" s="45">
        <f>MAX(0,MIN(C55,$B$8-D55))</f>
        <v/>
      </c>
      <c r="F55" s="45">
        <f>MAX(0,C55-E55)</f>
        <v/>
      </c>
      <c r="G55" s="37" t="n">
        <v>2028</v>
      </c>
    </row>
    <row r="56">
      <c r="A56" s="37" t="n">
        <v>34</v>
      </c>
      <c r="B56" s="37" t="inlineStr">
        <is>
          <t>10/01/2028</t>
        </is>
      </c>
      <c r="C56" s="45">
        <f>F55</f>
        <v/>
      </c>
      <c r="D56" s="45">
        <f>MAX(0,C56*$B$7/12)</f>
        <v/>
      </c>
      <c r="E56" s="45">
        <f>MAX(0,MIN(C56,$B$8-D56))</f>
        <v/>
      </c>
      <c r="F56" s="45">
        <f>MAX(0,C56-E56)</f>
        <v/>
      </c>
      <c r="G56" s="37" t="n">
        <v>2028</v>
      </c>
    </row>
    <row r="57">
      <c r="A57" s="37" t="n">
        <v>35</v>
      </c>
      <c r="B57" s="37" t="inlineStr">
        <is>
          <t>11/01/2028</t>
        </is>
      </c>
      <c r="C57" s="45">
        <f>F56</f>
        <v/>
      </c>
      <c r="D57" s="45">
        <f>MAX(0,C57*$B$7/12)</f>
        <v/>
      </c>
      <c r="E57" s="45">
        <f>MAX(0,MIN(C57,$B$8-D57))</f>
        <v/>
      </c>
      <c r="F57" s="45">
        <f>MAX(0,C57-E57)</f>
        <v/>
      </c>
      <c r="G57" s="37" t="n">
        <v>2028</v>
      </c>
    </row>
    <row r="58">
      <c r="A58" s="37" t="n">
        <v>36</v>
      </c>
      <c r="B58" s="37" t="inlineStr">
        <is>
          <t>12/01/2028</t>
        </is>
      </c>
      <c r="C58" s="45">
        <f>F57</f>
        <v/>
      </c>
      <c r="D58" s="45">
        <f>MAX(0,C58*$B$7/12)</f>
        <v/>
      </c>
      <c r="E58" s="45">
        <f>MAX(0,MIN(C58,$B$8-D58))</f>
        <v/>
      </c>
      <c r="F58" s="45">
        <f>MAX(0,C58-E58)</f>
        <v/>
      </c>
      <c r="G58" s="37" t="n">
        <v>2028</v>
      </c>
    </row>
    <row r="59">
      <c r="A59" s="37" t="n">
        <v>37</v>
      </c>
      <c r="B59" s="37" t="inlineStr">
        <is>
          <t>01/01/2029</t>
        </is>
      </c>
      <c r="C59" s="45">
        <f>F58</f>
        <v/>
      </c>
      <c r="D59" s="45">
        <f>MAX(0,C59*$B$7/12)</f>
        <v/>
      </c>
      <c r="E59" s="45">
        <f>MAX(0,MIN(C59,$B$8-D59))</f>
        <v/>
      </c>
      <c r="F59" s="45">
        <f>MAX(0,C59-E59)</f>
        <v/>
      </c>
      <c r="G59" s="37" t="n">
        <v>2029</v>
      </c>
    </row>
    <row r="61">
      <c r="A61" s="49" t="inlineStr">
        <is>
          <t>ANNUAL SUMMARY</t>
        </is>
      </c>
    </row>
    <row r="62">
      <c r="A62" s="50" t="inlineStr">
        <is>
          <t>Year</t>
        </is>
      </c>
      <c r="C62" s="50" t="inlineStr">
        <is>
          <t>Beg Balance</t>
        </is>
      </c>
      <c r="D62" s="50" t="inlineStr">
        <is>
          <t>Total Interest</t>
        </is>
      </c>
      <c r="E62" s="50" t="inlineStr">
        <is>
          <t>Total Principal</t>
        </is>
      </c>
      <c r="F62" s="50" t="inlineStr">
        <is>
          <t>End Balance</t>
        </is>
      </c>
    </row>
    <row r="63">
      <c r="A63" s="37" t="n">
        <v>2026</v>
      </c>
      <c r="C63" s="39">
        <f>C23</f>
        <v/>
      </c>
      <c r="D63" s="39">
        <f>SUM(D23:D34)</f>
        <v/>
      </c>
      <c r="E63" s="39">
        <f>SUM(E23:E34)</f>
        <v/>
      </c>
      <c r="F63" s="39">
        <f>F34</f>
        <v/>
      </c>
    </row>
    <row r="64">
      <c r="A64" s="37" t="n">
        <v>2027</v>
      </c>
      <c r="C64" s="39">
        <f>C35</f>
        <v/>
      </c>
      <c r="D64" s="39">
        <f>SUM(D35:D46)</f>
        <v/>
      </c>
      <c r="E64" s="39">
        <f>SUM(E35:E46)</f>
        <v/>
      </c>
      <c r="F64" s="39">
        <f>F46</f>
        <v/>
      </c>
    </row>
    <row r="65">
      <c r="A65" s="37" t="n">
        <v>2028</v>
      </c>
      <c r="C65" s="39">
        <f>C47</f>
        <v/>
      </c>
      <c r="D65" s="39">
        <f>SUM(D47:D58)</f>
        <v/>
      </c>
      <c r="E65" s="39">
        <f>SUM(E47:E58)</f>
        <v/>
      </c>
      <c r="F65" s="39">
        <f>F58</f>
        <v/>
      </c>
    </row>
    <row r="66">
      <c r="A66" s="37" t="n">
        <v>2029</v>
      </c>
      <c r="C66" s="39">
        <f>C59</f>
        <v/>
      </c>
      <c r="D66" s="39">
        <f>SUM(D59:D59)</f>
        <v/>
      </c>
      <c r="E66" s="39">
        <f>SUM(E59:E59)</f>
        <v/>
      </c>
      <c r="F66" s="39">
        <f>F59</f>
        <v/>
      </c>
    </row>
  </sheetData>
  <mergeCells count="8">
    <mergeCell ref="A13:G13"/>
    <mergeCell ref="A14:G14"/>
    <mergeCell ref="A61:G61"/>
    <mergeCell ref="A17:G17"/>
    <mergeCell ref="A18:G18"/>
    <mergeCell ref="A12:G12"/>
    <mergeCell ref="A16:G16"/>
    <mergeCell ref="A15:G15"/>
  </mergeCells>
  <pageMargins left="0.75" right="0.75" top="1" bottom="1" header="0.5" footer="0.5"/>
  <legacyDrawing xmlns:r="http://schemas.openxmlformats.org/officeDocument/2006/relationships" r:id="anysvml"/>
</worksheet>
</file>

<file path=xl/worksheets/sheet64.xml><?xml version="1.0" encoding="utf-8"?>
<worksheet xmlns="http://schemas.openxmlformats.org/spreadsheetml/2006/main">
  <sheetPr>
    <tabColor rgb="00808080"/>
    <outlinePr summaryBelow="1" summaryRight="1"/>
    <pageSetUpPr/>
  </sheetPr>
  <dimension ref="A1:G66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6" customWidth="1" min="3" max="3"/>
    <col width="14" customWidth="1" min="4" max="4"/>
    <col width="14" customWidth="1" min="5" max="5"/>
    <col width="16" customWidth="1" min="6" max="6"/>
    <col width="20" customWidth="1" min="7" max="7"/>
  </cols>
  <sheetData>
    <row r="1">
      <c r="A1" s="1" t="inlineStr">
        <is>
          <t>Lender</t>
        </is>
      </c>
      <c r="B1" t="inlineStr">
        <is>
          <t>BMO</t>
        </is>
      </c>
    </row>
    <row r="2">
      <c r="A2" s="1" t="inlineStr">
        <is>
          <t>Loan ID</t>
        </is>
      </c>
      <c r="B2" t="inlineStr">
        <is>
          <t>05-2934-006-000-00</t>
        </is>
      </c>
    </row>
    <row r="3">
      <c r="A3" s="1" t="inlineStr">
        <is>
          <t>Loan Number</t>
        </is>
      </c>
      <c r="B3" t="inlineStr">
        <is>
          <t>9370133001</t>
        </is>
      </c>
    </row>
    <row r="4">
      <c r="A4" s="1" t="inlineStr">
        <is>
          <t>Description</t>
        </is>
      </c>
      <c r="B4" t="inlineStr">
        <is>
          <t>1 Peterbilt 579</t>
        </is>
      </c>
    </row>
    <row r="5">
      <c r="A5" s="1" t="inlineStr">
        <is>
          <t>Collateral</t>
        </is>
      </c>
      <c r="B5" t="inlineStr">
        <is>
          <t>Equipment - Semi Trucks</t>
        </is>
      </c>
    </row>
    <row r="6">
      <c r="A6" s="1" t="inlineStr">
        <is>
          <t>Opening Balance (12/31/2025)</t>
        </is>
      </c>
      <c r="B6" s="26" t="n">
        <v>114170</v>
      </c>
    </row>
    <row r="7">
      <c r="A7" s="1" t="inlineStr">
        <is>
          <t>Annual Interest Rate</t>
        </is>
      </c>
      <c r="B7" s="6" t="n">
        <v>0.0668</v>
      </c>
    </row>
    <row r="8">
      <c r="A8" s="1" t="inlineStr">
        <is>
          <t>Monthly Payment</t>
        </is>
      </c>
      <c r="B8" s="26" t="n">
        <v>3421</v>
      </c>
    </row>
    <row r="9">
      <c r="A9" s="1" t="inlineStr">
        <is>
          <t>Origination Date</t>
        </is>
      </c>
      <c r="B9" t="inlineStr">
        <is>
          <t>2023-07-06</t>
        </is>
      </c>
    </row>
    <row r="10">
      <c r="A10" s="1" t="inlineStr">
        <is>
          <t>Maturity Date</t>
        </is>
      </c>
      <c r="B10" t="inlineStr">
        <is>
          <t>2029-01-10</t>
        </is>
      </c>
    </row>
    <row r="12">
      <c r="A12" s="47" t="inlineStr">
        <is>
          <t>LOAN ANALYSIS</t>
        </is>
      </c>
    </row>
    <row r="13">
      <c r="A13" s="9" t="inlineStr">
        <is>
          <t>Loan Type: AMORTIZING - Standard equipment loan with fixed monthly payments</t>
        </is>
      </c>
    </row>
    <row r="14">
      <c r="A14" s="9" t="inlineStr">
        <is>
          <t>Collateral: Equipment - Semi Trucks</t>
        </is>
      </c>
    </row>
    <row r="15">
      <c r="A15" s="9" t="inlineStr">
        <is>
          <t>Original Amount: $188,107.73 originated 2023-07-06</t>
        </is>
      </c>
    </row>
    <row r="16">
      <c r="A16" s="9" t="inlineStr">
        <is>
          <t>Remaining Term: Payments until maturity 2029-01-10</t>
        </is>
      </c>
    </row>
    <row r="17">
      <c r="A17" s="9" t="inlineStr">
        <is>
          <t>Amortization: Monthly interest accrual on declining balance</t>
        </is>
      </c>
    </row>
    <row r="18">
      <c r="A18" s="9" t="inlineStr">
        <is>
          <t>Note: MAX(0,...) formulas prevent negative values at loan payoff</t>
        </is>
      </c>
    </row>
    <row r="22">
      <c r="A22" s="48" t="inlineStr">
        <is>
          <t>Month #</t>
        </is>
      </c>
      <c r="B22" s="48" t="inlineStr">
        <is>
          <t>Date</t>
        </is>
      </c>
      <c r="C22" s="48" t="inlineStr">
        <is>
          <t>Opening Balance</t>
        </is>
      </c>
      <c r="D22" s="48" t="inlineStr">
        <is>
          <t>Interest</t>
        </is>
      </c>
      <c r="E22" s="48" t="inlineStr">
        <is>
          <t>Principal</t>
        </is>
      </c>
      <c r="F22" s="48" t="inlineStr">
        <is>
          <t>Closing Balance</t>
        </is>
      </c>
      <c r="G22" s="48" t="inlineStr">
        <is>
          <t>Year</t>
        </is>
      </c>
    </row>
    <row r="23">
      <c r="A23" s="37" t="n">
        <v>1</v>
      </c>
      <c r="B23" s="37" t="inlineStr">
        <is>
          <t>01/01/2026</t>
        </is>
      </c>
      <c r="C23" s="45">
        <f>$B$6</f>
        <v/>
      </c>
      <c r="D23" s="45">
        <f>MAX(0,C23*$B$7/12)</f>
        <v/>
      </c>
      <c r="E23" s="45">
        <f>MAX(0,MIN(C23,$B$8-D23))</f>
        <v/>
      </c>
      <c r="F23" s="45">
        <f>MAX(0,C23-E23)</f>
        <v/>
      </c>
      <c r="G23" s="37" t="n">
        <v>2026</v>
      </c>
    </row>
    <row r="24">
      <c r="A24" s="37" t="n">
        <v>2</v>
      </c>
      <c r="B24" s="37" t="inlineStr">
        <is>
          <t>02/01/2026</t>
        </is>
      </c>
      <c r="C24" s="45">
        <f>F23</f>
        <v/>
      </c>
      <c r="D24" s="45">
        <f>MAX(0,C24*$B$7/12)</f>
        <v/>
      </c>
      <c r="E24" s="45">
        <f>MAX(0,MIN(C24,$B$8-D24))</f>
        <v/>
      </c>
      <c r="F24" s="45">
        <f>MAX(0,C24-E24)</f>
        <v/>
      </c>
      <c r="G24" s="37" t="n">
        <v>2026</v>
      </c>
    </row>
    <row r="25">
      <c r="A25" s="37" t="n">
        <v>3</v>
      </c>
      <c r="B25" s="37" t="inlineStr">
        <is>
          <t>03/01/2026</t>
        </is>
      </c>
      <c r="C25" s="45">
        <f>F24</f>
        <v/>
      </c>
      <c r="D25" s="45">
        <f>MAX(0,C25*$B$7/12)</f>
        <v/>
      </c>
      <c r="E25" s="45">
        <f>MAX(0,MIN(C25,$B$8-D25))</f>
        <v/>
      </c>
      <c r="F25" s="45">
        <f>MAX(0,C25-E25)</f>
        <v/>
      </c>
      <c r="G25" s="37" t="n">
        <v>2026</v>
      </c>
    </row>
    <row r="26">
      <c r="A26" s="37" t="n">
        <v>4</v>
      </c>
      <c r="B26" s="37" t="inlineStr">
        <is>
          <t>04/01/2026</t>
        </is>
      </c>
      <c r="C26" s="45">
        <f>F25</f>
        <v/>
      </c>
      <c r="D26" s="45">
        <f>MAX(0,C26*$B$7/12)</f>
        <v/>
      </c>
      <c r="E26" s="45">
        <f>MAX(0,MIN(C26,$B$8-D26))</f>
        <v/>
      </c>
      <c r="F26" s="45">
        <f>MAX(0,C26-E26)</f>
        <v/>
      </c>
      <c r="G26" s="37" t="n">
        <v>2026</v>
      </c>
    </row>
    <row r="27">
      <c r="A27" s="37" t="n">
        <v>5</v>
      </c>
      <c r="B27" s="37" t="inlineStr">
        <is>
          <t>05/01/2026</t>
        </is>
      </c>
      <c r="C27" s="45">
        <f>F26</f>
        <v/>
      </c>
      <c r="D27" s="45">
        <f>MAX(0,C27*$B$7/12)</f>
        <v/>
      </c>
      <c r="E27" s="45">
        <f>MAX(0,MIN(C27,$B$8-D27))</f>
        <v/>
      </c>
      <c r="F27" s="45">
        <f>MAX(0,C27-E27)</f>
        <v/>
      </c>
      <c r="G27" s="37" t="n">
        <v>2026</v>
      </c>
    </row>
    <row r="28">
      <c r="A28" s="37" t="n">
        <v>6</v>
      </c>
      <c r="B28" s="37" t="inlineStr">
        <is>
          <t>06/01/2026</t>
        </is>
      </c>
      <c r="C28" s="45">
        <f>F27</f>
        <v/>
      </c>
      <c r="D28" s="45">
        <f>MAX(0,C28*$B$7/12)</f>
        <v/>
      </c>
      <c r="E28" s="45">
        <f>MAX(0,MIN(C28,$B$8-D28))</f>
        <v/>
      </c>
      <c r="F28" s="45">
        <f>MAX(0,C28-E28)</f>
        <v/>
      </c>
      <c r="G28" s="37" t="n">
        <v>2026</v>
      </c>
    </row>
    <row r="29">
      <c r="A29" s="37" t="n">
        <v>7</v>
      </c>
      <c r="B29" s="37" t="inlineStr">
        <is>
          <t>07/01/2026</t>
        </is>
      </c>
      <c r="C29" s="45">
        <f>F28</f>
        <v/>
      </c>
      <c r="D29" s="45">
        <f>MAX(0,C29*$B$7/12)</f>
        <v/>
      </c>
      <c r="E29" s="45">
        <f>MAX(0,MIN(C29,$B$8-D29))</f>
        <v/>
      </c>
      <c r="F29" s="45">
        <f>MAX(0,C29-E29)</f>
        <v/>
      </c>
      <c r="G29" s="37" t="n">
        <v>2026</v>
      </c>
    </row>
    <row r="30">
      <c r="A30" s="37" t="n">
        <v>8</v>
      </c>
      <c r="B30" s="37" t="inlineStr">
        <is>
          <t>08/01/2026</t>
        </is>
      </c>
      <c r="C30" s="45">
        <f>F29</f>
        <v/>
      </c>
      <c r="D30" s="45">
        <f>MAX(0,C30*$B$7/12)</f>
        <v/>
      </c>
      <c r="E30" s="45">
        <f>MAX(0,MIN(C30,$B$8-D30))</f>
        <v/>
      </c>
      <c r="F30" s="45">
        <f>MAX(0,C30-E30)</f>
        <v/>
      </c>
      <c r="G30" s="37" t="n">
        <v>2026</v>
      </c>
    </row>
    <row r="31">
      <c r="A31" s="37" t="n">
        <v>9</v>
      </c>
      <c r="B31" s="37" t="inlineStr">
        <is>
          <t>09/01/2026</t>
        </is>
      </c>
      <c r="C31" s="45">
        <f>F30</f>
        <v/>
      </c>
      <c r="D31" s="45">
        <f>MAX(0,C31*$B$7/12)</f>
        <v/>
      </c>
      <c r="E31" s="45">
        <f>MAX(0,MIN(C31,$B$8-D31))</f>
        <v/>
      </c>
      <c r="F31" s="45">
        <f>MAX(0,C31-E31)</f>
        <v/>
      </c>
      <c r="G31" s="37" t="n">
        <v>2026</v>
      </c>
    </row>
    <row r="32">
      <c r="A32" s="37" t="n">
        <v>10</v>
      </c>
      <c r="B32" s="37" t="inlineStr">
        <is>
          <t>10/01/2026</t>
        </is>
      </c>
      <c r="C32" s="45">
        <f>F31</f>
        <v/>
      </c>
      <c r="D32" s="45">
        <f>MAX(0,C32*$B$7/12)</f>
        <v/>
      </c>
      <c r="E32" s="45">
        <f>MAX(0,MIN(C32,$B$8-D32))</f>
        <v/>
      </c>
      <c r="F32" s="45">
        <f>MAX(0,C32-E32)</f>
        <v/>
      </c>
      <c r="G32" s="37" t="n">
        <v>2026</v>
      </c>
    </row>
    <row r="33">
      <c r="A33" s="37" t="n">
        <v>11</v>
      </c>
      <c r="B33" s="37" t="inlineStr">
        <is>
          <t>11/01/2026</t>
        </is>
      </c>
      <c r="C33" s="45">
        <f>F32</f>
        <v/>
      </c>
      <c r="D33" s="45">
        <f>MAX(0,C33*$B$7/12)</f>
        <v/>
      </c>
      <c r="E33" s="45">
        <f>MAX(0,MIN(C33,$B$8-D33))</f>
        <v/>
      </c>
      <c r="F33" s="45">
        <f>MAX(0,C33-E33)</f>
        <v/>
      </c>
      <c r="G33" s="37" t="n">
        <v>2026</v>
      </c>
    </row>
    <row r="34">
      <c r="A34" s="37" t="n">
        <v>12</v>
      </c>
      <c r="B34" s="37" t="inlineStr">
        <is>
          <t>12/01/2026</t>
        </is>
      </c>
      <c r="C34" s="45">
        <f>F33</f>
        <v/>
      </c>
      <c r="D34" s="45">
        <f>MAX(0,C34*$B$7/12)</f>
        <v/>
      </c>
      <c r="E34" s="45">
        <f>MAX(0,MIN(C34,$B$8-D34))</f>
        <v/>
      </c>
      <c r="F34" s="45">
        <f>MAX(0,C34-E34)</f>
        <v/>
      </c>
      <c r="G34" s="37" t="n">
        <v>2026</v>
      </c>
    </row>
    <row r="35">
      <c r="A35" s="37" t="n">
        <v>13</v>
      </c>
      <c r="B35" s="37" t="inlineStr">
        <is>
          <t>01/01/2027</t>
        </is>
      </c>
      <c r="C35" s="45">
        <f>F34</f>
        <v/>
      </c>
      <c r="D35" s="45">
        <f>MAX(0,C35*$B$7/12)</f>
        <v/>
      </c>
      <c r="E35" s="45">
        <f>MAX(0,MIN(C35,$B$8-D35))</f>
        <v/>
      </c>
      <c r="F35" s="45">
        <f>MAX(0,C35-E35)</f>
        <v/>
      </c>
      <c r="G35" s="37" t="n">
        <v>2027</v>
      </c>
    </row>
    <row r="36">
      <c r="A36" s="37" t="n">
        <v>14</v>
      </c>
      <c r="B36" s="37" t="inlineStr">
        <is>
          <t>02/01/2027</t>
        </is>
      </c>
      <c r="C36" s="45">
        <f>F35</f>
        <v/>
      </c>
      <c r="D36" s="45">
        <f>MAX(0,C36*$B$7/12)</f>
        <v/>
      </c>
      <c r="E36" s="45">
        <f>MAX(0,MIN(C36,$B$8-D36))</f>
        <v/>
      </c>
      <c r="F36" s="45">
        <f>MAX(0,C36-E36)</f>
        <v/>
      </c>
      <c r="G36" s="37" t="n">
        <v>2027</v>
      </c>
    </row>
    <row r="37">
      <c r="A37" s="37" t="n">
        <v>15</v>
      </c>
      <c r="B37" s="37" t="inlineStr">
        <is>
          <t>03/01/2027</t>
        </is>
      </c>
      <c r="C37" s="45">
        <f>F36</f>
        <v/>
      </c>
      <c r="D37" s="45">
        <f>MAX(0,C37*$B$7/12)</f>
        <v/>
      </c>
      <c r="E37" s="45">
        <f>MAX(0,MIN(C37,$B$8-D37))</f>
        <v/>
      </c>
      <c r="F37" s="45">
        <f>MAX(0,C37-E37)</f>
        <v/>
      </c>
      <c r="G37" s="37" t="n">
        <v>2027</v>
      </c>
    </row>
    <row r="38">
      <c r="A38" s="37" t="n">
        <v>16</v>
      </c>
      <c r="B38" s="37" t="inlineStr">
        <is>
          <t>04/01/2027</t>
        </is>
      </c>
      <c r="C38" s="45">
        <f>F37</f>
        <v/>
      </c>
      <c r="D38" s="45">
        <f>MAX(0,C38*$B$7/12)</f>
        <v/>
      </c>
      <c r="E38" s="45">
        <f>MAX(0,MIN(C38,$B$8-D38))</f>
        <v/>
      </c>
      <c r="F38" s="45">
        <f>MAX(0,C38-E38)</f>
        <v/>
      </c>
      <c r="G38" s="37" t="n">
        <v>2027</v>
      </c>
    </row>
    <row r="39">
      <c r="A39" s="37" t="n">
        <v>17</v>
      </c>
      <c r="B39" s="37" t="inlineStr">
        <is>
          <t>05/01/2027</t>
        </is>
      </c>
      <c r="C39" s="45">
        <f>F38</f>
        <v/>
      </c>
      <c r="D39" s="45">
        <f>MAX(0,C39*$B$7/12)</f>
        <v/>
      </c>
      <c r="E39" s="45">
        <f>MAX(0,MIN(C39,$B$8-D39))</f>
        <v/>
      </c>
      <c r="F39" s="45">
        <f>MAX(0,C39-E39)</f>
        <v/>
      </c>
      <c r="G39" s="37" t="n">
        <v>2027</v>
      </c>
    </row>
    <row r="40">
      <c r="A40" s="37" t="n">
        <v>18</v>
      </c>
      <c r="B40" s="37" t="inlineStr">
        <is>
          <t>06/01/2027</t>
        </is>
      </c>
      <c r="C40" s="45">
        <f>F39</f>
        <v/>
      </c>
      <c r="D40" s="45">
        <f>MAX(0,C40*$B$7/12)</f>
        <v/>
      </c>
      <c r="E40" s="45">
        <f>MAX(0,MIN(C40,$B$8-D40))</f>
        <v/>
      </c>
      <c r="F40" s="45">
        <f>MAX(0,C40-E40)</f>
        <v/>
      </c>
      <c r="G40" s="37" t="n">
        <v>2027</v>
      </c>
    </row>
    <row r="41">
      <c r="A41" s="37" t="n">
        <v>19</v>
      </c>
      <c r="B41" s="37" t="inlineStr">
        <is>
          <t>07/01/2027</t>
        </is>
      </c>
      <c r="C41" s="45">
        <f>F40</f>
        <v/>
      </c>
      <c r="D41" s="45">
        <f>MAX(0,C41*$B$7/12)</f>
        <v/>
      </c>
      <c r="E41" s="45">
        <f>MAX(0,MIN(C41,$B$8-D41))</f>
        <v/>
      </c>
      <c r="F41" s="45">
        <f>MAX(0,C41-E41)</f>
        <v/>
      </c>
      <c r="G41" s="37" t="n">
        <v>2027</v>
      </c>
    </row>
    <row r="42">
      <c r="A42" s="37" t="n">
        <v>20</v>
      </c>
      <c r="B42" s="37" t="inlineStr">
        <is>
          <t>08/01/2027</t>
        </is>
      </c>
      <c r="C42" s="45">
        <f>F41</f>
        <v/>
      </c>
      <c r="D42" s="45">
        <f>MAX(0,C42*$B$7/12)</f>
        <v/>
      </c>
      <c r="E42" s="45">
        <f>MAX(0,MIN(C42,$B$8-D42))</f>
        <v/>
      </c>
      <c r="F42" s="45">
        <f>MAX(0,C42-E42)</f>
        <v/>
      </c>
      <c r="G42" s="37" t="n">
        <v>2027</v>
      </c>
    </row>
    <row r="43">
      <c r="A43" s="37" t="n">
        <v>21</v>
      </c>
      <c r="B43" s="37" t="inlineStr">
        <is>
          <t>09/01/2027</t>
        </is>
      </c>
      <c r="C43" s="45">
        <f>F42</f>
        <v/>
      </c>
      <c r="D43" s="45">
        <f>MAX(0,C43*$B$7/12)</f>
        <v/>
      </c>
      <c r="E43" s="45">
        <f>MAX(0,MIN(C43,$B$8-D43))</f>
        <v/>
      </c>
      <c r="F43" s="45">
        <f>MAX(0,C43-E43)</f>
        <v/>
      </c>
      <c r="G43" s="37" t="n">
        <v>2027</v>
      </c>
    </row>
    <row r="44">
      <c r="A44" s="37" t="n">
        <v>22</v>
      </c>
      <c r="B44" s="37" t="inlineStr">
        <is>
          <t>10/01/2027</t>
        </is>
      </c>
      <c r="C44" s="45">
        <f>F43</f>
        <v/>
      </c>
      <c r="D44" s="45">
        <f>MAX(0,C44*$B$7/12)</f>
        <v/>
      </c>
      <c r="E44" s="45">
        <f>MAX(0,MIN(C44,$B$8-D44))</f>
        <v/>
      </c>
      <c r="F44" s="45">
        <f>MAX(0,C44-E44)</f>
        <v/>
      </c>
      <c r="G44" s="37" t="n">
        <v>2027</v>
      </c>
    </row>
    <row r="45">
      <c r="A45" s="37" t="n">
        <v>23</v>
      </c>
      <c r="B45" s="37" t="inlineStr">
        <is>
          <t>11/01/2027</t>
        </is>
      </c>
      <c r="C45" s="45">
        <f>F44</f>
        <v/>
      </c>
      <c r="D45" s="45">
        <f>MAX(0,C45*$B$7/12)</f>
        <v/>
      </c>
      <c r="E45" s="45">
        <f>MAX(0,MIN(C45,$B$8-D45))</f>
        <v/>
      </c>
      <c r="F45" s="45">
        <f>MAX(0,C45-E45)</f>
        <v/>
      </c>
      <c r="G45" s="37" t="n">
        <v>2027</v>
      </c>
    </row>
    <row r="46">
      <c r="A46" s="37" t="n">
        <v>24</v>
      </c>
      <c r="B46" s="37" t="inlineStr">
        <is>
          <t>12/01/2027</t>
        </is>
      </c>
      <c r="C46" s="45">
        <f>F45</f>
        <v/>
      </c>
      <c r="D46" s="45">
        <f>MAX(0,C46*$B$7/12)</f>
        <v/>
      </c>
      <c r="E46" s="45">
        <f>MAX(0,MIN(C46,$B$8-D46))</f>
        <v/>
      </c>
      <c r="F46" s="45">
        <f>MAX(0,C46-E46)</f>
        <v/>
      </c>
      <c r="G46" s="37" t="n">
        <v>2027</v>
      </c>
    </row>
    <row r="47">
      <c r="A47" s="37" t="n">
        <v>25</v>
      </c>
      <c r="B47" s="37" t="inlineStr">
        <is>
          <t>01/01/2028</t>
        </is>
      </c>
      <c r="C47" s="45">
        <f>F46</f>
        <v/>
      </c>
      <c r="D47" s="45">
        <f>MAX(0,C47*$B$7/12)</f>
        <v/>
      </c>
      <c r="E47" s="45">
        <f>MAX(0,MIN(C47,$B$8-D47))</f>
        <v/>
      </c>
      <c r="F47" s="45">
        <f>MAX(0,C47-E47)</f>
        <v/>
      </c>
      <c r="G47" s="37" t="n">
        <v>2028</v>
      </c>
    </row>
    <row r="48">
      <c r="A48" s="37" t="n">
        <v>26</v>
      </c>
      <c r="B48" s="37" t="inlineStr">
        <is>
          <t>02/01/2028</t>
        </is>
      </c>
      <c r="C48" s="45">
        <f>F47</f>
        <v/>
      </c>
      <c r="D48" s="45">
        <f>MAX(0,C48*$B$7/12)</f>
        <v/>
      </c>
      <c r="E48" s="45">
        <f>MAX(0,MIN(C48,$B$8-D48))</f>
        <v/>
      </c>
      <c r="F48" s="45">
        <f>MAX(0,C48-E48)</f>
        <v/>
      </c>
      <c r="G48" s="37" t="n">
        <v>2028</v>
      </c>
    </row>
    <row r="49">
      <c r="A49" s="37" t="n">
        <v>27</v>
      </c>
      <c r="B49" s="37" t="inlineStr">
        <is>
          <t>03/01/2028</t>
        </is>
      </c>
      <c r="C49" s="45">
        <f>F48</f>
        <v/>
      </c>
      <c r="D49" s="45">
        <f>MAX(0,C49*$B$7/12)</f>
        <v/>
      </c>
      <c r="E49" s="45">
        <f>MAX(0,MIN(C49,$B$8-D49))</f>
        <v/>
      </c>
      <c r="F49" s="45">
        <f>MAX(0,C49-E49)</f>
        <v/>
      </c>
      <c r="G49" s="37" t="n">
        <v>2028</v>
      </c>
    </row>
    <row r="50">
      <c r="A50" s="37" t="n">
        <v>28</v>
      </c>
      <c r="B50" s="37" t="inlineStr">
        <is>
          <t>04/01/2028</t>
        </is>
      </c>
      <c r="C50" s="45">
        <f>F49</f>
        <v/>
      </c>
      <c r="D50" s="45">
        <f>MAX(0,C50*$B$7/12)</f>
        <v/>
      </c>
      <c r="E50" s="45">
        <f>MAX(0,MIN(C50,$B$8-D50))</f>
        <v/>
      </c>
      <c r="F50" s="45">
        <f>MAX(0,C50-E50)</f>
        <v/>
      </c>
      <c r="G50" s="37" t="n">
        <v>2028</v>
      </c>
    </row>
    <row r="51">
      <c r="A51" s="37" t="n">
        <v>29</v>
      </c>
      <c r="B51" s="37" t="inlineStr">
        <is>
          <t>05/01/2028</t>
        </is>
      </c>
      <c r="C51" s="45">
        <f>F50</f>
        <v/>
      </c>
      <c r="D51" s="45">
        <f>MAX(0,C51*$B$7/12)</f>
        <v/>
      </c>
      <c r="E51" s="45">
        <f>MAX(0,MIN(C51,$B$8-D51))</f>
        <v/>
      </c>
      <c r="F51" s="45">
        <f>MAX(0,C51-E51)</f>
        <v/>
      </c>
      <c r="G51" s="37" t="n">
        <v>2028</v>
      </c>
    </row>
    <row r="52">
      <c r="A52" s="37" t="n">
        <v>30</v>
      </c>
      <c r="B52" s="37" t="inlineStr">
        <is>
          <t>06/01/2028</t>
        </is>
      </c>
      <c r="C52" s="45">
        <f>F51</f>
        <v/>
      </c>
      <c r="D52" s="45">
        <f>MAX(0,C52*$B$7/12)</f>
        <v/>
      </c>
      <c r="E52" s="45">
        <f>MAX(0,MIN(C52,$B$8-D52))</f>
        <v/>
      </c>
      <c r="F52" s="45">
        <f>MAX(0,C52-E52)</f>
        <v/>
      </c>
      <c r="G52" s="37" t="n">
        <v>2028</v>
      </c>
    </row>
    <row r="53">
      <c r="A53" s="37" t="n">
        <v>31</v>
      </c>
      <c r="B53" s="37" t="inlineStr">
        <is>
          <t>07/01/2028</t>
        </is>
      </c>
      <c r="C53" s="45">
        <f>F52</f>
        <v/>
      </c>
      <c r="D53" s="45">
        <f>MAX(0,C53*$B$7/12)</f>
        <v/>
      </c>
      <c r="E53" s="45">
        <f>MAX(0,MIN(C53,$B$8-D53))</f>
        <v/>
      </c>
      <c r="F53" s="45">
        <f>MAX(0,C53-E53)</f>
        <v/>
      </c>
      <c r="G53" s="37" t="n">
        <v>2028</v>
      </c>
    </row>
    <row r="54">
      <c r="A54" s="37" t="n">
        <v>32</v>
      </c>
      <c r="B54" s="37" t="inlineStr">
        <is>
          <t>08/01/2028</t>
        </is>
      </c>
      <c r="C54" s="45">
        <f>F53</f>
        <v/>
      </c>
      <c r="D54" s="45">
        <f>MAX(0,C54*$B$7/12)</f>
        <v/>
      </c>
      <c r="E54" s="45">
        <f>MAX(0,MIN(C54,$B$8-D54))</f>
        <v/>
      </c>
      <c r="F54" s="45">
        <f>MAX(0,C54-E54)</f>
        <v/>
      </c>
      <c r="G54" s="37" t="n">
        <v>2028</v>
      </c>
    </row>
    <row r="55">
      <c r="A55" s="37" t="n">
        <v>33</v>
      </c>
      <c r="B55" s="37" t="inlineStr">
        <is>
          <t>09/01/2028</t>
        </is>
      </c>
      <c r="C55" s="45">
        <f>F54</f>
        <v/>
      </c>
      <c r="D55" s="45">
        <f>MAX(0,C55*$B$7/12)</f>
        <v/>
      </c>
      <c r="E55" s="45">
        <f>MAX(0,MIN(C55,$B$8-D55))</f>
        <v/>
      </c>
      <c r="F55" s="45">
        <f>MAX(0,C55-E55)</f>
        <v/>
      </c>
      <c r="G55" s="37" t="n">
        <v>2028</v>
      </c>
    </row>
    <row r="56">
      <c r="A56" s="37" t="n">
        <v>34</v>
      </c>
      <c r="B56" s="37" t="inlineStr">
        <is>
          <t>10/01/2028</t>
        </is>
      </c>
      <c r="C56" s="45">
        <f>F55</f>
        <v/>
      </c>
      <c r="D56" s="45">
        <f>MAX(0,C56*$B$7/12)</f>
        <v/>
      </c>
      <c r="E56" s="45">
        <f>MAX(0,MIN(C56,$B$8-D56))</f>
        <v/>
      </c>
      <c r="F56" s="45">
        <f>MAX(0,C56-E56)</f>
        <v/>
      </c>
      <c r="G56" s="37" t="n">
        <v>2028</v>
      </c>
    </row>
    <row r="57">
      <c r="A57" s="37" t="n">
        <v>35</v>
      </c>
      <c r="B57" s="37" t="inlineStr">
        <is>
          <t>11/01/2028</t>
        </is>
      </c>
      <c r="C57" s="45">
        <f>F56</f>
        <v/>
      </c>
      <c r="D57" s="45">
        <f>MAX(0,C57*$B$7/12)</f>
        <v/>
      </c>
      <c r="E57" s="45">
        <f>MAX(0,MIN(C57,$B$8-D57))</f>
        <v/>
      </c>
      <c r="F57" s="45">
        <f>MAX(0,C57-E57)</f>
        <v/>
      </c>
      <c r="G57" s="37" t="n">
        <v>2028</v>
      </c>
    </row>
    <row r="58">
      <c r="A58" s="37" t="n">
        <v>36</v>
      </c>
      <c r="B58" s="37" t="inlineStr">
        <is>
          <t>12/01/2028</t>
        </is>
      </c>
      <c r="C58" s="45">
        <f>F57</f>
        <v/>
      </c>
      <c r="D58" s="45">
        <f>MAX(0,C58*$B$7/12)</f>
        <v/>
      </c>
      <c r="E58" s="45">
        <f>MAX(0,MIN(C58,$B$8-D58))</f>
        <v/>
      </c>
      <c r="F58" s="45">
        <f>MAX(0,C58-E58)</f>
        <v/>
      </c>
      <c r="G58" s="37" t="n">
        <v>2028</v>
      </c>
    </row>
    <row r="59">
      <c r="A59" s="37" t="n">
        <v>37</v>
      </c>
      <c r="B59" s="37" t="inlineStr">
        <is>
          <t>01/01/2029</t>
        </is>
      </c>
      <c r="C59" s="45">
        <f>F58</f>
        <v/>
      </c>
      <c r="D59" s="45">
        <f>MAX(0,C59*$B$7/12)</f>
        <v/>
      </c>
      <c r="E59" s="45">
        <f>MAX(0,MIN(C59,$B$8-D59))</f>
        <v/>
      </c>
      <c r="F59" s="45">
        <f>MAX(0,C59-E59)</f>
        <v/>
      </c>
      <c r="G59" s="37" t="n">
        <v>2029</v>
      </c>
    </row>
    <row r="61">
      <c r="A61" s="49" t="inlineStr">
        <is>
          <t>ANNUAL SUMMARY</t>
        </is>
      </c>
    </row>
    <row r="62">
      <c r="A62" s="50" t="inlineStr">
        <is>
          <t>Year</t>
        </is>
      </c>
      <c r="C62" s="50" t="inlineStr">
        <is>
          <t>Beg Balance</t>
        </is>
      </c>
      <c r="D62" s="50" t="inlineStr">
        <is>
          <t>Total Interest</t>
        </is>
      </c>
      <c r="E62" s="50" t="inlineStr">
        <is>
          <t>Total Principal</t>
        </is>
      </c>
      <c r="F62" s="50" t="inlineStr">
        <is>
          <t>End Balance</t>
        </is>
      </c>
    </row>
    <row r="63">
      <c r="A63" s="37" t="n">
        <v>2026</v>
      </c>
      <c r="C63" s="39">
        <f>C23</f>
        <v/>
      </c>
      <c r="D63" s="39">
        <f>SUM(D23:D34)</f>
        <v/>
      </c>
      <c r="E63" s="39">
        <f>SUM(E23:E34)</f>
        <v/>
      </c>
      <c r="F63" s="39">
        <f>F34</f>
        <v/>
      </c>
    </row>
    <row r="64">
      <c r="A64" s="37" t="n">
        <v>2027</v>
      </c>
      <c r="C64" s="39">
        <f>C35</f>
        <v/>
      </c>
      <c r="D64" s="39">
        <f>SUM(D35:D46)</f>
        <v/>
      </c>
      <c r="E64" s="39">
        <f>SUM(E35:E46)</f>
        <v/>
      </c>
      <c r="F64" s="39">
        <f>F46</f>
        <v/>
      </c>
    </row>
    <row r="65">
      <c r="A65" s="37" t="n">
        <v>2028</v>
      </c>
      <c r="C65" s="39">
        <f>C47</f>
        <v/>
      </c>
      <c r="D65" s="39">
        <f>SUM(D47:D58)</f>
        <v/>
      </c>
      <c r="E65" s="39">
        <f>SUM(E47:E58)</f>
        <v/>
      </c>
      <c r="F65" s="39">
        <f>F58</f>
        <v/>
      </c>
    </row>
    <row r="66">
      <c r="A66" s="37" t="n">
        <v>2029</v>
      </c>
      <c r="C66" s="39">
        <f>C59</f>
        <v/>
      </c>
      <c r="D66" s="39">
        <f>SUM(D59:D59)</f>
        <v/>
      </c>
      <c r="E66" s="39">
        <f>SUM(E59:E59)</f>
        <v/>
      </c>
      <c r="F66" s="39">
        <f>F59</f>
        <v/>
      </c>
    </row>
  </sheetData>
  <mergeCells count="8">
    <mergeCell ref="A13:G13"/>
    <mergeCell ref="A14:G14"/>
    <mergeCell ref="A61:G61"/>
    <mergeCell ref="A17:G17"/>
    <mergeCell ref="A18:G18"/>
    <mergeCell ref="A12:G12"/>
    <mergeCell ref="A16:G16"/>
    <mergeCell ref="A15:G15"/>
  </mergeCells>
  <pageMargins left="0.75" right="0.75" top="1" bottom="1" header="0.5" footer="0.5"/>
  <legacyDrawing xmlns:r="http://schemas.openxmlformats.org/officeDocument/2006/relationships" r:id="anysvml"/>
</worksheet>
</file>

<file path=xl/worksheets/sheet65.xml><?xml version="1.0" encoding="utf-8"?>
<worksheet xmlns="http://schemas.openxmlformats.org/spreadsheetml/2006/main">
  <sheetPr>
    <tabColor rgb="00808080"/>
    <outlinePr summaryBelow="1" summaryRight="1"/>
    <pageSetUpPr/>
  </sheetPr>
  <dimension ref="A1:G67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6" customWidth="1" min="3" max="3"/>
    <col width="14" customWidth="1" min="4" max="4"/>
    <col width="14" customWidth="1" min="5" max="5"/>
    <col width="16" customWidth="1" min="6" max="6"/>
    <col width="20" customWidth="1" min="7" max="7"/>
  </cols>
  <sheetData>
    <row r="1">
      <c r="A1" s="1" t="inlineStr">
        <is>
          <t>Lender</t>
        </is>
      </c>
      <c r="B1" t="inlineStr">
        <is>
          <t>BMO</t>
        </is>
      </c>
    </row>
    <row r="2">
      <c r="A2" s="1" t="inlineStr">
        <is>
          <t>Loan ID</t>
        </is>
      </c>
      <c r="B2" t="inlineStr">
        <is>
          <t>05-2934-007-000-00</t>
        </is>
      </c>
    </row>
    <row r="3">
      <c r="A3" s="1" t="inlineStr">
        <is>
          <t>Loan Number</t>
        </is>
      </c>
      <c r="B3" t="inlineStr">
        <is>
          <t>9370474001</t>
        </is>
      </c>
    </row>
    <row r="4">
      <c r="A4" s="1" t="inlineStr">
        <is>
          <t>Description</t>
        </is>
      </c>
      <c r="B4" t="inlineStr">
        <is>
          <t>6 T680 Sleepers</t>
        </is>
      </c>
    </row>
    <row r="5">
      <c r="A5" s="1" t="inlineStr">
        <is>
          <t>Collateral</t>
        </is>
      </c>
      <c r="B5" t="inlineStr">
        <is>
          <t>Equipment - Semi Trucks</t>
        </is>
      </c>
    </row>
    <row r="6">
      <c r="A6" s="1" t="inlineStr">
        <is>
          <t>Opening Balance (12/31/2025)</t>
        </is>
      </c>
      <c r="B6" s="26" t="n">
        <v>667745</v>
      </c>
    </row>
    <row r="7">
      <c r="A7" s="1" t="inlineStr">
        <is>
          <t>Annual Interest Rate</t>
        </is>
      </c>
      <c r="B7" s="6" t="n">
        <v>0.0668</v>
      </c>
    </row>
    <row r="8">
      <c r="A8" s="1" t="inlineStr">
        <is>
          <t>Monthly Payment</t>
        </is>
      </c>
      <c r="B8" s="26" t="n">
        <v>19542</v>
      </c>
    </row>
    <row r="9">
      <c r="A9" s="1" t="inlineStr">
        <is>
          <t>Origination Date</t>
        </is>
      </c>
      <c r="B9" t="inlineStr">
        <is>
          <t>2023-07-17</t>
        </is>
      </c>
    </row>
    <row r="10">
      <c r="A10" s="1" t="inlineStr">
        <is>
          <t>Maturity Date</t>
        </is>
      </c>
      <c r="B10" t="inlineStr">
        <is>
          <t>2029-02-01</t>
        </is>
      </c>
    </row>
    <row r="12">
      <c r="A12" s="47" t="inlineStr">
        <is>
          <t>LOAN ANALYSIS</t>
        </is>
      </c>
    </row>
    <row r="13">
      <c r="A13" s="9" t="inlineStr">
        <is>
          <t>Loan Type: AMORTIZING - Standard equipment loan with fixed monthly payments</t>
        </is>
      </c>
    </row>
    <row r="14">
      <c r="A14" s="9" t="inlineStr">
        <is>
          <t>Collateral: Equipment - Semi Trucks</t>
        </is>
      </c>
    </row>
    <row r="15">
      <c r="A15" s="9" t="inlineStr">
        <is>
          <t>Original Amount: $1,073,840.00 originated 2023-07-17</t>
        </is>
      </c>
    </row>
    <row r="16">
      <c r="A16" s="9" t="inlineStr">
        <is>
          <t>Remaining Term: Payments until maturity 2029-02-01</t>
        </is>
      </c>
    </row>
    <row r="17">
      <c r="A17" s="9" t="inlineStr">
        <is>
          <t>Amortization: Monthly interest accrual on declining balance</t>
        </is>
      </c>
    </row>
    <row r="18">
      <c r="A18" s="9" t="inlineStr">
        <is>
          <t>Note: MAX(0,...) formulas prevent negative values at loan payoff</t>
        </is>
      </c>
    </row>
    <row r="22">
      <c r="A22" s="48" t="inlineStr">
        <is>
          <t>Month #</t>
        </is>
      </c>
      <c r="B22" s="48" t="inlineStr">
        <is>
          <t>Date</t>
        </is>
      </c>
      <c r="C22" s="48" t="inlineStr">
        <is>
          <t>Opening Balance</t>
        </is>
      </c>
      <c r="D22" s="48" t="inlineStr">
        <is>
          <t>Interest</t>
        </is>
      </c>
      <c r="E22" s="48" t="inlineStr">
        <is>
          <t>Principal</t>
        </is>
      </c>
      <c r="F22" s="48" t="inlineStr">
        <is>
          <t>Closing Balance</t>
        </is>
      </c>
      <c r="G22" s="48" t="inlineStr">
        <is>
          <t>Year</t>
        </is>
      </c>
    </row>
    <row r="23">
      <c r="A23" s="37" t="n">
        <v>1</v>
      </c>
      <c r="B23" s="37" t="inlineStr">
        <is>
          <t>01/01/2026</t>
        </is>
      </c>
      <c r="C23" s="45">
        <f>$B$6</f>
        <v/>
      </c>
      <c r="D23" s="45">
        <f>MAX(0,C23*$B$7/12)</f>
        <v/>
      </c>
      <c r="E23" s="45">
        <f>MAX(0,MIN(C23,$B$8-D23))</f>
        <v/>
      </c>
      <c r="F23" s="45">
        <f>MAX(0,C23-E23)</f>
        <v/>
      </c>
      <c r="G23" s="37" t="n">
        <v>2026</v>
      </c>
    </row>
    <row r="24">
      <c r="A24" s="37" t="n">
        <v>2</v>
      </c>
      <c r="B24" s="37" t="inlineStr">
        <is>
          <t>02/01/2026</t>
        </is>
      </c>
      <c r="C24" s="45">
        <f>F23</f>
        <v/>
      </c>
      <c r="D24" s="45">
        <f>MAX(0,C24*$B$7/12)</f>
        <v/>
      </c>
      <c r="E24" s="45">
        <f>MAX(0,MIN(C24,$B$8-D24))</f>
        <v/>
      </c>
      <c r="F24" s="45">
        <f>MAX(0,C24-E24)</f>
        <v/>
      </c>
      <c r="G24" s="37" t="n">
        <v>2026</v>
      </c>
    </row>
    <row r="25">
      <c r="A25" s="37" t="n">
        <v>3</v>
      </c>
      <c r="B25" s="37" t="inlineStr">
        <is>
          <t>03/01/2026</t>
        </is>
      </c>
      <c r="C25" s="45">
        <f>F24</f>
        <v/>
      </c>
      <c r="D25" s="45">
        <f>MAX(0,C25*$B$7/12)</f>
        <v/>
      </c>
      <c r="E25" s="45">
        <f>MAX(0,MIN(C25,$B$8-D25))</f>
        <v/>
      </c>
      <c r="F25" s="45">
        <f>MAX(0,C25-E25)</f>
        <v/>
      </c>
      <c r="G25" s="37" t="n">
        <v>2026</v>
      </c>
    </row>
    <row r="26">
      <c r="A26" s="37" t="n">
        <v>4</v>
      </c>
      <c r="B26" s="37" t="inlineStr">
        <is>
          <t>04/01/2026</t>
        </is>
      </c>
      <c r="C26" s="45">
        <f>F25</f>
        <v/>
      </c>
      <c r="D26" s="45">
        <f>MAX(0,C26*$B$7/12)</f>
        <v/>
      </c>
      <c r="E26" s="45">
        <f>MAX(0,MIN(C26,$B$8-D26))</f>
        <v/>
      </c>
      <c r="F26" s="45">
        <f>MAX(0,C26-E26)</f>
        <v/>
      </c>
      <c r="G26" s="37" t="n">
        <v>2026</v>
      </c>
    </row>
    <row r="27">
      <c r="A27" s="37" t="n">
        <v>5</v>
      </c>
      <c r="B27" s="37" t="inlineStr">
        <is>
          <t>05/01/2026</t>
        </is>
      </c>
      <c r="C27" s="45">
        <f>F26</f>
        <v/>
      </c>
      <c r="D27" s="45">
        <f>MAX(0,C27*$B$7/12)</f>
        <v/>
      </c>
      <c r="E27" s="45">
        <f>MAX(0,MIN(C27,$B$8-D27))</f>
        <v/>
      </c>
      <c r="F27" s="45">
        <f>MAX(0,C27-E27)</f>
        <v/>
      </c>
      <c r="G27" s="37" t="n">
        <v>2026</v>
      </c>
    </row>
    <row r="28">
      <c r="A28" s="37" t="n">
        <v>6</v>
      </c>
      <c r="B28" s="37" t="inlineStr">
        <is>
          <t>06/01/2026</t>
        </is>
      </c>
      <c r="C28" s="45">
        <f>F27</f>
        <v/>
      </c>
      <c r="D28" s="45">
        <f>MAX(0,C28*$B$7/12)</f>
        <v/>
      </c>
      <c r="E28" s="45">
        <f>MAX(0,MIN(C28,$B$8-D28))</f>
        <v/>
      </c>
      <c r="F28" s="45">
        <f>MAX(0,C28-E28)</f>
        <v/>
      </c>
      <c r="G28" s="37" t="n">
        <v>2026</v>
      </c>
    </row>
    <row r="29">
      <c r="A29" s="37" t="n">
        <v>7</v>
      </c>
      <c r="B29" s="37" t="inlineStr">
        <is>
          <t>07/01/2026</t>
        </is>
      </c>
      <c r="C29" s="45">
        <f>F28</f>
        <v/>
      </c>
      <c r="D29" s="45">
        <f>MAX(0,C29*$B$7/12)</f>
        <v/>
      </c>
      <c r="E29" s="45">
        <f>MAX(0,MIN(C29,$B$8-D29))</f>
        <v/>
      </c>
      <c r="F29" s="45">
        <f>MAX(0,C29-E29)</f>
        <v/>
      </c>
      <c r="G29" s="37" t="n">
        <v>2026</v>
      </c>
    </row>
    <row r="30">
      <c r="A30" s="37" t="n">
        <v>8</v>
      </c>
      <c r="B30" s="37" t="inlineStr">
        <is>
          <t>08/01/2026</t>
        </is>
      </c>
      <c r="C30" s="45">
        <f>F29</f>
        <v/>
      </c>
      <c r="D30" s="45">
        <f>MAX(0,C30*$B$7/12)</f>
        <v/>
      </c>
      <c r="E30" s="45">
        <f>MAX(0,MIN(C30,$B$8-D30))</f>
        <v/>
      </c>
      <c r="F30" s="45">
        <f>MAX(0,C30-E30)</f>
        <v/>
      </c>
      <c r="G30" s="37" t="n">
        <v>2026</v>
      </c>
    </row>
    <row r="31">
      <c r="A31" s="37" t="n">
        <v>9</v>
      </c>
      <c r="B31" s="37" t="inlineStr">
        <is>
          <t>09/01/2026</t>
        </is>
      </c>
      <c r="C31" s="45">
        <f>F30</f>
        <v/>
      </c>
      <c r="D31" s="45">
        <f>MAX(0,C31*$B$7/12)</f>
        <v/>
      </c>
      <c r="E31" s="45">
        <f>MAX(0,MIN(C31,$B$8-D31))</f>
        <v/>
      </c>
      <c r="F31" s="45">
        <f>MAX(0,C31-E31)</f>
        <v/>
      </c>
      <c r="G31" s="37" t="n">
        <v>2026</v>
      </c>
    </row>
    <row r="32">
      <c r="A32" s="37" t="n">
        <v>10</v>
      </c>
      <c r="B32" s="37" t="inlineStr">
        <is>
          <t>10/01/2026</t>
        </is>
      </c>
      <c r="C32" s="45">
        <f>F31</f>
        <v/>
      </c>
      <c r="D32" s="45">
        <f>MAX(0,C32*$B$7/12)</f>
        <v/>
      </c>
      <c r="E32" s="45">
        <f>MAX(0,MIN(C32,$B$8-D32))</f>
        <v/>
      </c>
      <c r="F32" s="45">
        <f>MAX(0,C32-E32)</f>
        <v/>
      </c>
      <c r="G32" s="37" t="n">
        <v>2026</v>
      </c>
    </row>
    <row r="33">
      <c r="A33" s="37" t="n">
        <v>11</v>
      </c>
      <c r="B33" s="37" t="inlineStr">
        <is>
          <t>11/01/2026</t>
        </is>
      </c>
      <c r="C33" s="45">
        <f>F32</f>
        <v/>
      </c>
      <c r="D33" s="45">
        <f>MAX(0,C33*$B$7/12)</f>
        <v/>
      </c>
      <c r="E33" s="45">
        <f>MAX(0,MIN(C33,$B$8-D33))</f>
        <v/>
      </c>
      <c r="F33" s="45">
        <f>MAX(0,C33-E33)</f>
        <v/>
      </c>
      <c r="G33" s="37" t="n">
        <v>2026</v>
      </c>
    </row>
    <row r="34">
      <c r="A34" s="37" t="n">
        <v>12</v>
      </c>
      <c r="B34" s="37" t="inlineStr">
        <is>
          <t>12/01/2026</t>
        </is>
      </c>
      <c r="C34" s="45">
        <f>F33</f>
        <v/>
      </c>
      <c r="D34" s="45">
        <f>MAX(0,C34*$B$7/12)</f>
        <v/>
      </c>
      <c r="E34" s="45">
        <f>MAX(0,MIN(C34,$B$8-D34))</f>
        <v/>
      </c>
      <c r="F34" s="45">
        <f>MAX(0,C34-E34)</f>
        <v/>
      </c>
      <c r="G34" s="37" t="n">
        <v>2026</v>
      </c>
    </row>
    <row r="35">
      <c r="A35" s="37" t="n">
        <v>13</v>
      </c>
      <c r="B35" s="37" t="inlineStr">
        <is>
          <t>01/01/2027</t>
        </is>
      </c>
      <c r="C35" s="45">
        <f>F34</f>
        <v/>
      </c>
      <c r="D35" s="45">
        <f>MAX(0,C35*$B$7/12)</f>
        <v/>
      </c>
      <c r="E35" s="45">
        <f>MAX(0,MIN(C35,$B$8-D35))</f>
        <v/>
      </c>
      <c r="F35" s="45">
        <f>MAX(0,C35-E35)</f>
        <v/>
      </c>
      <c r="G35" s="37" t="n">
        <v>2027</v>
      </c>
    </row>
    <row r="36">
      <c r="A36" s="37" t="n">
        <v>14</v>
      </c>
      <c r="B36" s="37" t="inlineStr">
        <is>
          <t>02/01/2027</t>
        </is>
      </c>
      <c r="C36" s="45">
        <f>F35</f>
        <v/>
      </c>
      <c r="D36" s="45">
        <f>MAX(0,C36*$B$7/12)</f>
        <v/>
      </c>
      <c r="E36" s="45">
        <f>MAX(0,MIN(C36,$B$8-D36))</f>
        <v/>
      </c>
      <c r="F36" s="45">
        <f>MAX(0,C36-E36)</f>
        <v/>
      </c>
      <c r="G36" s="37" t="n">
        <v>2027</v>
      </c>
    </row>
    <row r="37">
      <c r="A37" s="37" t="n">
        <v>15</v>
      </c>
      <c r="B37" s="37" t="inlineStr">
        <is>
          <t>03/01/2027</t>
        </is>
      </c>
      <c r="C37" s="45">
        <f>F36</f>
        <v/>
      </c>
      <c r="D37" s="45">
        <f>MAX(0,C37*$B$7/12)</f>
        <v/>
      </c>
      <c r="E37" s="45">
        <f>MAX(0,MIN(C37,$B$8-D37))</f>
        <v/>
      </c>
      <c r="F37" s="45">
        <f>MAX(0,C37-E37)</f>
        <v/>
      </c>
      <c r="G37" s="37" t="n">
        <v>2027</v>
      </c>
    </row>
    <row r="38">
      <c r="A38" s="37" t="n">
        <v>16</v>
      </c>
      <c r="B38" s="37" t="inlineStr">
        <is>
          <t>04/01/2027</t>
        </is>
      </c>
      <c r="C38" s="45">
        <f>F37</f>
        <v/>
      </c>
      <c r="D38" s="45">
        <f>MAX(0,C38*$B$7/12)</f>
        <v/>
      </c>
      <c r="E38" s="45">
        <f>MAX(0,MIN(C38,$B$8-D38))</f>
        <v/>
      </c>
      <c r="F38" s="45">
        <f>MAX(0,C38-E38)</f>
        <v/>
      </c>
      <c r="G38" s="37" t="n">
        <v>2027</v>
      </c>
    </row>
    <row r="39">
      <c r="A39" s="37" t="n">
        <v>17</v>
      </c>
      <c r="B39" s="37" t="inlineStr">
        <is>
          <t>05/01/2027</t>
        </is>
      </c>
      <c r="C39" s="45">
        <f>F38</f>
        <v/>
      </c>
      <c r="D39" s="45">
        <f>MAX(0,C39*$B$7/12)</f>
        <v/>
      </c>
      <c r="E39" s="45">
        <f>MAX(0,MIN(C39,$B$8-D39))</f>
        <v/>
      </c>
      <c r="F39" s="45">
        <f>MAX(0,C39-E39)</f>
        <v/>
      </c>
      <c r="G39" s="37" t="n">
        <v>2027</v>
      </c>
    </row>
    <row r="40">
      <c r="A40" s="37" t="n">
        <v>18</v>
      </c>
      <c r="B40" s="37" t="inlineStr">
        <is>
          <t>06/01/2027</t>
        </is>
      </c>
      <c r="C40" s="45">
        <f>F39</f>
        <v/>
      </c>
      <c r="D40" s="45">
        <f>MAX(0,C40*$B$7/12)</f>
        <v/>
      </c>
      <c r="E40" s="45">
        <f>MAX(0,MIN(C40,$B$8-D40))</f>
        <v/>
      </c>
      <c r="F40" s="45">
        <f>MAX(0,C40-E40)</f>
        <v/>
      </c>
      <c r="G40" s="37" t="n">
        <v>2027</v>
      </c>
    </row>
    <row r="41">
      <c r="A41" s="37" t="n">
        <v>19</v>
      </c>
      <c r="B41" s="37" t="inlineStr">
        <is>
          <t>07/01/2027</t>
        </is>
      </c>
      <c r="C41" s="45">
        <f>F40</f>
        <v/>
      </c>
      <c r="D41" s="45">
        <f>MAX(0,C41*$B$7/12)</f>
        <v/>
      </c>
      <c r="E41" s="45">
        <f>MAX(0,MIN(C41,$B$8-D41))</f>
        <v/>
      </c>
      <c r="F41" s="45">
        <f>MAX(0,C41-E41)</f>
        <v/>
      </c>
      <c r="G41" s="37" t="n">
        <v>2027</v>
      </c>
    </row>
    <row r="42">
      <c r="A42" s="37" t="n">
        <v>20</v>
      </c>
      <c r="B42" s="37" t="inlineStr">
        <is>
          <t>08/01/2027</t>
        </is>
      </c>
      <c r="C42" s="45">
        <f>F41</f>
        <v/>
      </c>
      <c r="D42" s="45">
        <f>MAX(0,C42*$B$7/12)</f>
        <v/>
      </c>
      <c r="E42" s="45">
        <f>MAX(0,MIN(C42,$B$8-D42))</f>
        <v/>
      </c>
      <c r="F42" s="45">
        <f>MAX(0,C42-E42)</f>
        <v/>
      </c>
      <c r="G42" s="37" t="n">
        <v>2027</v>
      </c>
    </row>
    <row r="43">
      <c r="A43" s="37" t="n">
        <v>21</v>
      </c>
      <c r="B43" s="37" t="inlineStr">
        <is>
          <t>09/01/2027</t>
        </is>
      </c>
      <c r="C43" s="45">
        <f>F42</f>
        <v/>
      </c>
      <c r="D43" s="45">
        <f>MAX(0,C43*$B$7/12)</f>
        <v/>
      </c>
      <c r="E43" s="45">
        <f>MAX(0,MIN(C43,$B$8-D43))</f>
        <v/>
      </c>
      <c r="F43" s="45">
        <f>MAX(0,C43-E43)</f>
        <v/>
      </c>
      <c r="G43" s="37" t="n">
        <v>2027</v>
      </c>
    </row>
    <row r="44">
      <c r="A44" s="37" t="n">
        <v>22</v>
      </c>
      <c r="B44" s="37" t="inlineStr">
        <is>
          <t>10/01/2027</t>
        </is>
      </c>
      <c r="C44" s="45">
        <f>F43</f>
        <v/>
      </c>
      <c r="D44" s="45">
        <f>MAX(0,C44*$B$7/12)</f>
        <v/>
      </c>
      <c r="E44" s="45">
        <f>MAX(0,MIN(C44,$B$8-D44))</f>
        <v/>
      </c>
      <c r="F44" s="45">
        <f>MAX(0,C44-E44)</f>
        <v/>
      </c>
      <c r="G44" s="37" t="n">
        <v>2027</v>
      </c>
    </row>
    <row r="45">
      <c r="A45" s="37" t="n">
        <v>23</v>
      </c>
      <c r="B45" s="37" t="inlineStr">
        <is>
          <t>11/01/2027</t>
        </is>
      </c>
      <c r="C45" s="45">
        <f>F44</f>
        <v/>
      </c>
      <c r="D45" s="45">
        <f>MAX(0,C45*$B$7/12)</f>
        <v/>
      </c>
      <c r="E45" s="45">
        <f>MAX(0,MIN(C45,$B$8-D45))</f>
        <v/>
      </c>
      <c r="F45" s="45">
        <f>MAX(0,C45-E45)</f>
        <v/>
      </c>
      <c r="G45" s="37" t="n">
        <v>2027</v>
      </c>
    </row>
    <row r="46">
      <c r="A46" s="37" t="n">
        <v>24</v>
      </c>
      <c r="B46" s="37" t="inlineStr">
        <is>
          <t>12/01/2027</t>
        </is>
      </c>
      <c r="C46" s="45">
        <f>F45</f>
        <v/>
      </c>
      <c r="D46" s="45">
        <f>MAX(0,C46*$B$7/12)</f>
        <v/>
      </c>
      <c r="E46" s="45">
        <f>MAX(0,MIN(C46,$B$8-D46))</f>
        <v/>
      </c>
      <c r="F46" s="45">
        <f>MAX(0,C46-E46)</f>
        <v/>
      </c>
      <c r="G46" s="37" t="n">
        <v>2027</v>
      </c>
    </row>
    <row r="47">
      <c r="A47" s="37" t="n">
        <v>25</v>
      </c>
      <c r="B47" s="37" t="inlineStr">
        <is>
          <t>01/01/2028</t>
        </is>
      </c>
      <c r="C47" s="45">
        <f>F46</f>
        <v/>
      </c>
      <c r="D47" s="45">
        <f>MAX(0,C47*$B$7/12)</f>
        <v/>
      </c>
      <c r="E47" s="45">
        <f>MAX(0,MIN(C47,$B$8-D47))</f>
        <v/>
      </c>
      <c r="F47" s="45">
        <f>MAX(0,C47-E47)</f>
        <v/>
      </c>
      <c r="G47" s="37" t="n">
        <v>2028</v>
      </c>
    </row>
    <row r="48">
      <c r="A48" s="37" t="n">
        <v>26</v>
      </c>
      <c r="B48" s="37" t="inlineStr">
        <is>
          <t>02/01/2028</t>
        </is>
      </c>
      <c r="C48" s="45">
        <f>F47</f>
        <v/>
      </c>
      <c r="D48" s="45">
        <f>MAX(0,C48*$B$7/12)</f>
        <v/>
      </c>
      <c r="E48" s="45">
        <f>MAX(0,MIN(C48,$B$8-D48))</f>
        <v/>
      </c>
      <c r="F48" s="45">
        <f>MAX(0,C48-E48)</f>
        <v/>
      </c>
      <c r="G48" s="37" t="n">
        <v>2028</v>
      </c>
    </row>
    <row r="49">
      <c r="A49" s="37" t="n">
        <v>27</v>
      </c>
      <c r="B49" s="37" t="inlineStr">
        <is>
          <t>03/01/2028</t>
        </is>
      </c>
      <c r="C49" s="45">
        <f>F48</f>
        <v/>
      </c>
      <c r="D49" s="45">
        <f>MAX(0,C49*$B$7/12)</f>
        <v/>
      </c>
      <c r="E49" s="45">
        <f>MAX(0,MIN(C49,$B$8-D49))</f>
        <v/>
      </c>
      <c r="F49" s="45">
        <f>MAX(0,C49-E49)</f>
        <v/>
      </c>
      <c r="G49" s="37" t="n">
        <v>2028</v>
      </c>
    </row>
    <row r="50">
      <c r="A50" s="37" t="n">
        <v>28</v>
      </c>
      <c r="B50" s="37" t="inlineStr">
        <is>
          <t>04/01/2028</t>
        </is>
      </c>
      <c r="C50" s="45">
        <f>F49</f>
        <v/>
      </c>
      <c r="D50" s="45">
        <f>MAX(0,C50*$B$7/12)</f>
        <v/>
      </c>
      <c r="E50" s="45">
        <f>MAX(0,MIN(C50,$B$8-D50))</f>
        <v/>
      </c>
      <c r="F50" s="45">
        <f>MAX(0,C50-E50)</f>
        <v/>
      </c>
      <c r="G50" s="37" t="n">
        <v>2028</v>
      </c>
    </row>
    <row r="51">
      <c r="A51" s="37" t="n">
        <v>29</v>
      </c>
      <c r="B51" s="37" t="inlineStr">
        <is>
          <t>05/01/2028</t>
        </is>
      </c>
      <c r="C51" s="45">
        <f>F50</f>
        <v/>
      </c>
      <c r="D51" s="45">
        <f>MAX(0,C51*$B$7/12)</f>
        <v/>
      </c>
      <c r="E51" s="45">
        <f>MAX(0,MIN(C51,$B$8-D51))</f>
        <v/>
      </c>
      <c r="F51" s="45">
        <f>MAX(0,C51-E51)</f>
        <v/>
      </c>
      <c r="G51" s="37" t="n">
        <v>2028</v>
      </c>
    </row>
    <row r="52">
      <c r="A52" s="37" t="n">
        <v>30</v>
      </c>
      <c r="B52" s="37" t="inlineStr">
        <is>
          <t>06/01/2028</t>
        </is>
      </c>
      <c r="C52" s="45">
        <f>F51</f>
        <v/>
      </c>
      <c r="D52" s="45">
        <f>MAX(0,C52*$B$7/12)</f>
        <v/>
      </c>
      <c r="E52" s="45">
        <f>MAX(0,MIN(C52,$B$8-D52))</f>
        <v/>
      </c>
      <c r="F52" s="45">
        <f>MAX(0,C52-E52)</f>
        <v/>
      </c>
      <c r="G52" s="37" t="n">
        <v>2028</v>
      </c>
    </row>
    <row r="53">
      <c r="A53" s="37" t="n">
        <v>31</v>
      </c>
      <c r="B53" s="37" t="inlineStr">
        <is>
          <t>07/01/2028</t>
        </is>
      </c>
      <c r="C53" s="45">
        <f>F52</f>
        <v/>
      </c>
      <c r="D53" s="45">
        <f>MAX(0,C53*$B$7/12)</f>
        <v/>
      </c>
      <c r="E53" s="45">
        <f>MAX(0,MIN(C53,$B$8-D53))</f>
        <v/>
      </c>
      <c r="F53" s="45">
        <f>MAX(0,C53-E53)</f>
        <v/>
      </c>
      <c r="G53" s="37" t="n">
        <v>2028</v>
      </c>
    </row>
    <row r="54">
      <c r="A54" s="37" t="n">
        <v>32</v>
      </c>
      <c r="B54" s="37" t="inlineStr">
        <is>
          <t>08/01/2028</t>
        </is>
      </c>
      <c r="C54" s="45">
        <f>F53</f>
        <v/>
      </c>
      <c r="D54" s="45">
        <f>MAX(0,C54*$B$7/12)</f>
        <v/>
      </c>
      <c r="E54" s="45">
        <f>MAX(0,MIN(C54,$B$8-D54))</f>
        <v/>
      </c>
      <c r="F54" s="45">
        <f>MAX(0,C54-E54)</f>
        <v/>
      </c>
      <c r="G54" s="37" t="n">
        <v>2028</v>
      </c>
    </row>
    <row r="55">
      <c r="A55" s="37" t="n">
        <v>33</v>
      </c>
      <c r="B55" s="37" t="inlineStr">
        <is>
          <t>09/01/2028</t>
        </is>
      </c>
      <c r="C55" s="45">
        <f>F54</f>
        <v/>
      </c>
      <c r="D55" s="45">
        <f>MAX(0,C55*$B$7/12)</f>
        <v/>
      </c>
      <c r="E55" s="45">
        <f>MAX(0,MIN(C55,$B$8-D55))</f>
        <v/>
      </c>
      <c r="F55" s="45">
        <f>MAX(0,C55-E55)</f>
        <v/>
      </c>
      <c r="G55" s="37" t="n">
        <v>2028</v>
      </c>
    </row>
    <row r="56">
      <c r="A56" s="37" t="n">
        <v>34</v>
      </c>
      <c r="B56" s="37" t="inlineStr">
        <is>
          <t>10/01/2028</t>
        </is>
      </c>
      <c r="C56" s="45">
        <f>F55</f>
        <v/>
      </c>
      <c r="D56" s="45">
        <f>MAX(0,C56*$B$7/12)</f>
        <v/>
      </c>
      <c r="E56" s="45">
        <f>MAX(0,MIN(C56,$B$8-D56))</f>
        <v/>
      </c>
      <c r="F56" s="45">
        <f>MAX(0,C56-E56)</f>
        <v/>
      </c>
      <c r="G56" s="37" t="n">
        <v>2028</v>
      </c>
    </row>
    <row r="57">
      <c r="A57" s="37" t="n">
        <v>35</v>
      </c>
      <c r="B57" s="37" t="inlineStr">
        <is>
          <t>11/01/2028</t>
        </is>
      </c>
      <c r="C57" s="45">
        <f>F56</f>
        <v/>
      </c>
      <c r="D57" s="45">
        <f>MAX(0,C57*$B$7/12)</f>
        <v/>
      </c>
      <c r="E57" s="45">
        <f>MAX(0,MIN(C57,$B$8-D57))</f>
        <v/>
      </c>
      <c r="F57" s="45">
        <f>MAX(0,C57-E57)</f>
        <v/>
      </c>
      <c r="G57" s="37" t="n">
        <v>2028</v>
      </c>
    </row>
    <row r="58">
      <c r="A58" s="37" t="n">
        <v>36</v>
      </c>
      <c r="B58" s="37" t="inlineStr">
        <is>
          <t>12/01/2028</t>
        </is>
      </c>
      <c r="C58" s="45">
        <f>F57</f>
        <v/>
      </c>
      <c r="D58" s="45">
        <f>MAX(0,C58*$B$7/12)</f>
        <v/>
      </c>
      <c r="E58" s="45">
        <f>MAX(0,MIN(C58,$B$8-D58))</f>
        <v/>
      </c>
      <c r="F58" s="45">
        <f>MAX(0,C58-E58)</f>
        <v/>
      </c>
      <c r="G58" s="37" t="n">
        <v>2028</v>
      </c>
    </row>
    <row r="59">
      <c r="A59" s="37" t="n">
        <v>37</v>
      </c>
      <c r="B59" s="37" t="inlineStr">
        <is>
          <t>01/01/2029</t>
        </is>
      </c>
      <c r="C59" s="45">
        <f>F58</f>
        <v/>
      </c>
      <c r="D59" s="45">
        <f>MAX(0,C59*$B$7/12)</f>
        <v/>
      </c>
      <c r="E59" s="45">
        <f>MAX(0,MIN(C59,$B$8-D59))</f>
        <v/>
      </c>
      <c r="F59" s="45">
        <f>MAX(0,C59-E59)</f>
        <v/>
      </c>
      <c r="G59" s="37" t="n">
        <v>2029</v>
      </c>
    </row>
    <row r="60">
      <c r="A60" s="37" t="n">
        <v>38</v>
      </c>
      <c r="B60" s="37" t="inlineStr">
        <is>
          <t>02/01/2029</t>
        </is>
      </c>
      <c r="C60" s="45">
        <f>F59</f>
        <v/>
      </c>
      <c r="D60" s="45">
        <f>MAX(0,C60*$B$7/12)</f>
        <v/>
      </c>
      <c r="E60" s="45">
        <f>MAX(0,MIN(C60,$B$8-D60))</f>
        <v/>
      </c>
      <c r="F60" s="45">
        <f>MAX(0,C60-E60)</f>
        <v/>
      </c>
      <c r="G60" s="37" t="n">
        <v>2029</v>
      </c>
    </row>
    <row r="62">
      <c r="A62" s="49" t="inlineStr">
        <is>
          <t>ANNUAL SUMMARY</t>
        </is>
      </c>
    </row>
    <row r="63">
      <c r="A63" s="50" t="inlineStr">
        <is>
          <t>Year</t>
        </is>
      </c>
      <c r="C63" s="50" t="inlineStr">
        <is>
          <t>Beg Balance</t>
        </is>
      </c>
      <c r="D63" s="50" t="inlineStr">
        <is>
          <t>Total Interest</t>
        </is>
      </c>
      <c r="E63" s="50" t="inlineStr">
        <is>
          <t>Total Principal</t>
        </is>
      </c>
      <c r="F63" s="50" t="inlineStr">
        <is>
          <t>End Balance</t>
        </is>
      </c>
    </row>
    <row r="64">
      <c r="A64" s="37" t="n">
        <v>2026</v>
      </c>
      <c r="C64" s="39">
        <f>C23</f>
        <v/>
      </c>
      <c r="D64" s="39">
        <f>SUM(D23:D34)</f>
        <v/>
      </c>
      <c r="E64" s="39">
        <f>SUM(E23:E34)</f>
        <v/>
      </c>
      <c r="F64" s="39">
        <f>F34</f>
        <v/>
      </c>
    </row>
    <row r="65">
      <c r="A65" s="37" t="n">
        <v>2027</v>
      </c>
      <c r="C65" s="39">
        <f>C35</f>
        <v/>
      </c>
      <c r="D65" s="39">
        <f>SUM(D35:D46)</f>
        <v/>
      </c>
      <c r="E65" s="39">
        <f>SUM(E35:E46)</f>
        <v/>
      </c>
      <c r="F65" s="39">
        <f>F46</f>
        <v/>
      </c>
    </row>
    <row r="66">
      <c r="A66" s="37" t="n">
        <v>2028</v>
      </c>
      <c r="C66" s="39">
        <f>C47</f>
        <v/>
      </c>
      <c r="D66" s="39">
        <f>SUM(D47:D58)</f>
        <v/>
      </c>
      <c r="E66" s="39">
        <f>SUM(E47:E58)</f>
        <v/>
      </c>
      <c r="F66" s="39">
        <f>F58</f>
        <v/>
      </c>
    </row>
    <row r="67">
      <c r="A67" s="37" t="n">
        <v>2029</v>
      </c>
      <c r="C67" s="39">
        <f>C59</f>
        <v/>
      </c>
      <c r="D67" s="39">
        <f>SUM(D59:D60)</f>
        <v/>
      </c>
      <c r="E67" s="39">
        <f>SUM(E59:E60)</f>
        <v/>
      </c>
      <c r="F67" s="39">
        <f>F60</f>
        <v/>
      </c>
    </row>
  </sheetData>
  <mergeCells count="8">
    <mergeCell ref="A13:G13"/>
    <mergeCell ref="A14:G14"/>
    <mergeCell ref="A17:G17"/>
    <mergeCell ref="A18:G18"/>
    <mergeCell ref="A12:G12"/>
    <mergeCell ref="A62:G62"/>
    <mergeCell ref="A16:G16"/>
    <mergeCell ref="A15:G15"/>
  </mergeCells>
  <pageMargins left="0.75" right="0.75" top="1" bottom="1" header="0.5" footer="0.5"/>
  <legacyDrawing xmlns:r="http://schemas.openxmlformats.org/officeDocument/2006/relationships" r:id="anysvml"/>
</worksheet>
</file>

<file path=xl/worksheets/sheet66.xml><?xml version="1.0" encoding="utf-8"?>
<worksheet xmlns="http://schemas.openxmlformats.org/spreadsheetml/2006/main">
  <sheetPr>
    <tabColor rgb="00808080"/>
    <outlinePr summaryBelow="1" summaryRight="1"/>
    <pageSetUpPr/>
  </sheetPr>
  <dimension ref="A1:F97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6" customWidth="1" min="3" max="3"/>
    <col width="14" customWidth="1" min="4" max="4"/>
    <col width="14" customWidth="1" min="5" max="5"/>
    <col width="16" customWidth="1" min="6" max="6"/>
    <col width="14" customWidth="1" min="7" max="7"/>
  </cols>
  <sheetData>
    <row r="1">
      <c r="A1" s="51" t="inlineStr">
        <is>
          <t>LOAN DETAIL SHEET</t>
        </is>
      </c>
      <c r="B1" s="3" t="n"/>
      <c r="C1" s="3" t="n"/>
      <c r="D1" s="3" t="n"/>
      <c r="E1" s="3" t="n"/>
      <c r="F1" s="3" t="n"/>
    </row>
    <row r="2">
      <c r="A2" t="inlineStr">
        <is>
          <t>Lender:</t>
        </is>
      </c>
      <c r="B2" s="4" t="inlineStr">
        <is>
          <t>Atlantic Union Equipment Finance</t>
        </is>
      </c>
    </row>
    <row r="3">
      <c r="A3" t="inlineStr">
        <is>
          <t>Loan ID:</t>
        </is>
      </c>
      <c r="B3" s="4" t="inlineStr">
        <is>
          <t>05-2987-000-000-00</t>
        </is>
      </c>
    </row>
    <row r="4">
      <c r="A4" t="inlineStr">
        <is>
          <t>Description:</t>
        </is>
      </c>
      <c r="B4" s="4" t="inlineStr">
        <is>
          <t>7 T680 Sleepers</t>
        </is>
      </c>
    </row>
    <row r="5">
      <c r="A5" t="inlineStr">
        <is>
          <t>Collateral:</t>
        </is>
      </c>
      <c r="B5" s="4" t="inlineStr">
        <is>
          <t>Equipment - Semi Trucks</t>
        </is>
      </c>
    </row>
    <row r="6">
      <c r="A6" t="inlineStr">
        <is>
          <t>Original Balance:</t>
        </is>
      </c>
      <c r="B6" s="5" t="n">
        <v>1254764</v>
      </c>
    </row>
    <row r="7">
      <c r="A7" t="inlineStr">
        <is>
          <t>Balance 12/31/25:</t>
        </is>
      </c>
      <c r="B7" s="5" t="n">
        <v>775212</v>
      </c>
    </row>
    <row r="8">
      <c r="A8" t="inlineStr">
        <is>
          <t>Annual Rate:</t>
        </is>
      </c>
      <c r="B8" s="6" t="n">
        <v>0.06370000000000001</v>
      </c>
    </row>
    <row r="9">
      <c r="A9" t="inlineStr">
        <is>
          <t>Monthly Payment:</t>
        </is>
      </c>
      <c r="B9" s="5" t="n">
        <v>22586</v>
      </c>
    </row>
    <row r="10">
      <c r="A10" t="inlineStr">
        <is>
          <t>Maturity Date:</t>
        </is>
      </c>
      <c r="B10" s="52" t="n">
        <v>47164</v>
      </c>
    </row>
    <row r="12">
      <c r="A12" s="53" t="inlineStr">
        <is>
          <t>AI ANALYSIS</t>
        </is>
      </c>
      <c r="B12" s="9" t="n"/>
      <c r="C12" s="9" t="n"/>
      <c r="D12" s="9" t="n"/>
      <c r="E12" s="9" t="n"/>
      <c r="F12" s="9" t="n"/>
    </row>
    <row r="13">
      <c r="A13" s="9" t="inlineStr">
        <is>
          <t>Loan Type:</t>
        </is>
      </c>
      <c r="B13" s="9" t="inlineStr">
        <is>
          <t>AMORTIZING</t>
        </is>
      </c>
    </row>
    <row r="14">
      <c r="A14" s="9" t="inlineStr">
        <is>
          <t>Classification:</t>
        </is>
      </c>
      <c r="B14" s="9" t="inlineStr">
        <is>
          <t>Equipment Finance - Standard Amortization</t>
        </is>
      </c>
    </row>
    <row r="15">
      <c r="A15" s="9" t="inlineStr">
        <is>
          <t>Term (months):</t>
        </is>
      </c>
      <c r="B15" s="9" t="n">
        <v>66</v>
      </c>
    </row>
    <row r="16">
      <c r="A16" s="9" t="inlineStr">
        <is>
          <t>Months Remaining:</t>
        </is>
      </c>
      <c r="B16" s="9" t="n">
        <v>38</v>
      </c>
    </row>
    <row r="17">
      <c r="A17" s="9" t="inlineStr">
        <is>
          <t>Notes:</t>
        </is>
      </c>
      <c r="B17" s="9" t="inlineStr">
        <is>
          <t>Standard amortizing equipment loan secured by equipment - semi trucks.</t>
        </is>
      </c>
    </row>
    <row r="19">
      <c r="A19" s="54" t="inlineStr">
        <is>
          <t>Month #</t>
        </is>
      </c>
      <c r="B19" s="54" t="inlineStr">
        <is>
          <t>Date</t>
        </is>
      </c>
      <c r="C19" s="54" t="inlineStr">
        <is>
          <t>Opening</t>
        </is>
      </c>
      <c r="D19" s="54" t="inlineStr">
        <is>
          <t>Interest</t>
        </is>
      </c>
      <c r="E19" s="54" t="inlineStr">
        <is>
          <t>Principal</t>
        </is>
      </c>
      <c r="F19" s="54" t="inlineStr">
        <is>
          <t>Closing</t>
        </is>
      </c>
    </row>
    <row r="20">
      <c r="A20" s="11" t="n">
        <v>1</v>
      </c>
      <c r="B20" s="33" t="n">
        <v>45184</v>
      </c>
      <c r="C20" s="13">
        <f>$B$6</f>
        <v/>
      </c>
      <c r="D20" s="13">
        <f>MAX(0,C20*$B$8/12)</f>
        <v/>
      </c>
      <c r="E20" s="13">
        <f>MAX(0,MIN(C20,$B$9-D20))</f>
        <v/>
      </c>
      <c r="F20" s="13">
        <f>MAX(0,C20-E20)</f>
        <v/>
      </c>
    </row>
    <row r="21">
      <c r="A21" s="11" t="n">
        <v>2</v>
      </c>
      <c r="B21" s="33" t="n">
        <v>45214</v>
      </c>
      <c r="C21" s="13">
        <f>F20</f>
        <v/>
      </c>
      <c r="D21" s="13">
        <f>MAX(0,C21*$B$8/12)</f>
        <v/>
      </c>
      <c r="E21" s="13">
        <f>MAX(0,MIN(C21,$B$9-D21))</f>
        <v/>
      </c>
      <c r="F21" s="13">
        <f>MAX(0,C21-E21)</f>
        <v/>
      </c>
    </row>
    <row r="22">
      <c r="A22" s="11" t="n">
        <v>3</v>
      </c>
      <c r="B22" s="33" t="n">
        <v>45245</v>
      </c>
      <c r="C22" s="13">
        <f>F21</f>
        <v/>
      </c>
      <c r="D22" s="13">
        <f>MAX(0,C22*$B$8/12)</f>
        <v/>
      </c>
      <c r="E22" s="13">
        <f>MAX(0,MIN(C22,$B$9-D22))</f>
        <v/>
      </c>
      <c r="F22" s="13">
        <f>MAX(0,C22-E22)</f>
        <v/>
      </c>
    </row>
    <row r="23">
      <c r="A23" s="11" t="n">
        <v>4</v>
      </c>
      <c r="B23" s="33" t="n">
        <v>45275</v>
      </c>
      <c r="C23" s="13">
        <f>F22</f>
        <v/>
      </c>
      <c r="D23" s="13">
        <f>MAX(0,C23*$B$8/12)</f>
        <v/>
      </c>
      <c r="E23" s="13">
        <f>MAX(0,MIN(C23,$B$9-D23))</f>
        <v/>
      </c>
      <c r="F23" s="13">
        <f>MAX(0,C23-E23)</f>
        <v/>
      </c>
    </row>
    <row r="24">
      <c r="A24" s="11" t="n">
        <v>5</v>
      </c>
      <c r="B24" s="33" t="n">
        <v>45306</v>
      </c>
      <c r="C24" s="13">
        <f>F23</f>
        <v/>
      </c>
      <c r="D24" s="13">
        <f>MAX(0,C24*$B$8/12)</f>
        <v/>
      </c>
      <c r="E24" s="13">
        <f>MAX(0,MIN(C24,$B$9-D24))</f>
        <v/>
      </c>
      <c r="F24" s="13">
        <f>MAX(0,C24-E24)</f>
        <v/>
      </c>
    </row>
    <row r="25">
      <c r="A25" s="11" t="n">
        <v>6</v>
      </c>
      <c r="B25" s="33" t="n">
        <v>45337</v>
      </c>
      <c r="C25" s="13">
        <f>F24</f>
        <v/>
      </c>
      <c r="D25" s="13">
        <f>MAX(0,C25*$B$8/12)</f>
        <v/>
      </c>
      <c r="E25" s="13">
        <f>MAX(0,MIN(C25,$B$9-D25))</f>
        <v/>
      </c>
      <c r="F25" s="13">
        <f>MAX(0,C25-E25)</f>
        <v/>
      </c>
    </row>
    <row r="26">
      <c r="A26" s="11" t="n">
        <v>7</v>
      </c>
      <c r="B26" s="33" t="n">
        <v>45366</v>
      </c>
      <c r="C26" s="13">
        <f>F25</f>
        <v/>
      </c>
      <c r="D26" s="13">
        <f>MAX(0,C26*$B$8/12)</f>
        <v/>
      </c>
      <c r="E26" s="13">
        <f>MAX(0,MIN(C26,$B$9-D26))</f>
        <v/>
      </c>
      <c r="F26" s="13">
        <f>MAX(0,C26-E26)</f>
        <v/>
      </c>
    </row>
    <row r="27">
      <c r="A27" s="11" t="n">
        <v>8</v>
      </c>
      <c r="B27" s="33" t="n">
        <v>45397</v>
      </c>
      <c r="C27" s="13">
        <f>F26</f>
        <v/>
      </c>
      <c r="D27" s="13">
        <f>MAX(0,C27*$B$8/12)</f>
        <v/>
      </c>
      <c r="E27" s="13">
        <f>MAX(0,MIN(C27,$B$9-D27))</f>
        <v/>
      </c>
      <c r="F27" s="13">
        <f>MAX(0,C27-E27)</f>
        <v/>
      </c>
    </row>
    <row r="28">
      <c r="A28" s="11" t="n">
        <v>9</v>
      </c>
      <c r="B28" s="33" t="n">
        <v>45427</v>
      </c>
      <c r="C28" s="13">
        <f>F27</f>
        <v/>
      </c>
      <c r="D28" s="13">
        <f>MAX(0,C28*$B$8/12)</f>
        <v/>
      </c>
      <c r="E28" s="13">
        <f>MAX(0,MIN(C28,$B$9-D28))</f>
        <v/>
      </c>
      <c r="F28" s="13">
        <f>MAX(0,C28-E28)</f>
        <v/>
      </c>
    </row>
    <row r="29">
      <c r="A29" s="11" t="n">
        <v>10</v>
      </c>
      <c r="B29" s="33" t="n">
        <v>45458</v>
      </c>
      <c r="C29" s="13">
        <f>F28</f>
        <v/>
      </c>
      <c r="D29" s="13">
        <f>MAX(0,C29*$B$8/12)</f>
        <v/>
      </c>
      <c r="E29" s="13">
        <f>MAX(0,MIN(C29,$B$9-D29))</f>
        <v/>
      </c>
      <c r="F29" s="13">
        <f>MAX(0,C29-E29)</f>
        <v/>
      </c>
    </row>
    <row r="30">
      <c r="A30" s="11" t="n">
        <v>11</v>
      </c>
      <c r="B30" s="33" t="n">
        <v>45488</v>
      </c>
      <c r="C30" s="13">
        <f>F29</f>
        <v/>
      </c>
      <c r="D30" s="13">
        <f>MAX(0,C30*$B$8/12)</f>
        <v/>
      </c>
      <c r="E30" s="13">
        <f>MAX(0,MIN(C30,$B$9-D30))</f>
        <v/>
      </c>
      <c r="F30" s="13">
        <f>MAX(0,C30-E30)</f>
        <v/>
      </c>
    </row>
    <row r="31">
      <c r="A31" s="11" t="n">
        <v>12</v>
      </c>
      <c r="B31" s="33" t="n">
        <v>45519</v>
      </c>
      <c r="C31" s="13">
        <f>F30</f>
        <v/>
      </c>
      <c r="D31" s="13">
        <f>MAX(0,C31*$B$8/12)</f>
        <v/>
      </c>
      <c r="E31" s="13">
        <f>MAX(0,MIN(C31,$B$9-D31))</f>
        <v/>
      </c>
      <c r="F31" s="13">
        <f>MAX(0,C31-E31)</f>
        <v/>
      </c>
    </row>
    <row r="32">
      <c r="A32" s="11" t="n">
        <v>13</v>
      </c>
      <c r="B32" s="33" t="n">
        <v>45550</v>
      </c>
      <c r="C32" s="13">
        <f>F31</f>
        <v/>
      </c>
      <c r="D32" s="13">
        <f>MAX(0,C32*$B$8/12)</f>
        <v/>
      </c>
      <c r="E32" s="13">
        <f>MAX(0,MIN(C32,$B$9-D32))</f>
        <v/>
      </c>
      <c r="F32" s="13">
        <f>MAX(0,C32-E32)</f>
        <v/>
      </c>
    </row>
    <row r="33">
      <c r="A33" s="11" t="n">
        <v>14</v>
      </c>
      <c r="B33" s="33" t="n">
        <v>45580</v>
      </c>
      <c r="C33" s="13">
        <f>F32</f>
        <v/>
      </c>
      <c r="D33" s="13">
        <f>MAX(0,C33*$B$8/12)</f>
        <v/>
      </c>
      <c r="E33" s="13">
        <f>MAX(0,MIN(C33,$B$9-D33))</f>
        <v/>
      </c>
      <c r="F33" s="13">
        <f>MAX(0,C33-E33)</f>
        <v/>
      </c>
    </row>
    <row r="34">
      <c r="A34" s="11" t="n">
        <v>15</v>
      </c>
      <c r="B34" s="33" t="n">
        <v>45611</v>
      </c>
      <c r="C34" s="13">
        <f>F33</f>
        <v/>
      </c>
      <c r="D34" s="13">
        <f>MAX(0,C34*$B$8/12)</f>
        <v/>
      </c>
      <c r="E34" s="13">
        <f>MAX(0,MIN(C34,$B$9-D34))</f>
        <v/>
      </c>
      <c r="F34" s="13">
        <f>MAX(0,C34-E34)</f>
        <v/>
      </c>
    </row>
    <row r="35">
      <c r="A35" s="11" t="n">
        <v>16</v>
      </c>
      <c r="B35" s="33" t="n">
        <v>45641</v>
      </c>
      <c r="C35" s="13">
        <f>F34</f>
        <v/>
      </c>
      <c r="D35" s="13">
        <f>MAX(0,C35*$B$8/12)</f>
        <v/>
      </c>
      <c r="E35" s="13">
        <f>MAX(0,MIN(C35,$B$9-D35))</f>
        <v/>
      </c>
      <c r="F35" s="13">
        <f>MAX(0,C35-E35)</f>
        <v/>
      </c>
    </row>
    <row r="36">
      <c r="A36" s="11" t="n">
        <v>17</v>
      </c>
      <c r="B36" s="33" t="n">
        <v>45672</v>
      </c>
      <c r="C36" s="13">
        <f>F35</f>
        <v/>
      </c>
      <c r="D36" s="13">
        <f>MAX(0,C36*$B$8/12)</f>
        <v/>
      </c>
      <c r="E36" s="13">
        <f>MAX(0,MIN(C36,$B$9-D36))</f>
        <v/>
      </c>
      <c r="F36" s="13">
        <f>MAX(0,C36-E36)</f>
        <v/>
      </c>
    </row>
    <row r="37">
      <c r="A37" s="11" t="n">
        <v>18</v>
      </c>
      <c r="B37" s="33" t="n">
        <v>45703</v>
      </c>
      <c r="C37" s="13">
        <f>F36</f>
        <v/>
      </c>
      <c r="D37" s="13">
        <f>MAX(0,C37*$B$8/12)</f>
        <v/>
      </c>
      <c r="E37" s="13">
        <f>MAX(0,MIN(C37,$B$9-D37))</f>
        <v/>
      </c>
      <c r="F37" s="13">
        <f>MAX(0,C37-E37)</f>
        <v/>
      </c>
    </row>
    <row r="38">
      <c r="A38" s="11" t="n">
        <v>19</v>
      </c>
      <c r="B38" s="33" t="n">
        <v>45731</v>
      </c>
      <c r="C38" s="13">
        <f>F37</f>
        <v/>
      </c>
      <c r="D38" s="13">
        <f>MAX(0,C38*$B$8/12)</f>
        <v/>
      </c>
      <c r="E38" s="13">
        <f>MAX(0,MIN(C38,$B$9-D38))</f>
        <v/>
      </c>
      <c r="F38" s="13">
        <f>MAX(0,C38-E38)</f>
        <v/>
      </c>
    </row>
    <row r="39">
      <c r="A39" s="11" t="n">
        <v>20</v>
      </c>
      <c r="B39" s="33" t="n">
        <v>45762</v>
      </c>
      <c r="C39" s="13">
        <f>F38</f>
        <v/>
      </c>
      <c r="D39" s="13">
        <f>MAX(0,C39*$B$8/12)</f>
        <v/>
      </c>
      <c r="E39" s="13">
        <f>MAX(0,MIN(C39,$B$9-D39))</f>
        <v/>
      </c>
      <c r="F39" s="13">
        <f>MAX(0,C39-E39)</f>
        <v/>
      </c>
    </row>
    <row r="40">
      <c r="A40" s="11" t="n">
        <v>21</v>
      </c>
      <c r="B40" s="33" t="n">
        <v>45792</v>
      </c>
      <c r="C40" s="13">
        <f>F39</f>
        <v/>
      </c>
      <c r="D40" s="13">
        <f>MAX(0,C40*$B$8/12)</f>
        <v/>
      </c>
      <c r="E40" s="13">
        <f>MAX(0,MIN(C40,$B$9-D40))</f>
        <v/>
      </c>
      <c r="F40" s="13">
        <f>MAX(0,C40-E40)</f>
        <v/>
      </c>
    </row>
    <row r="41">
      <c r="A41" s="11" t="n">
        <v>22</v>
      </c>
      <c r="B41" s="33" t="n">
        <v>45823</v>
      </c>
      <c r="C41" s="13">
        <f>F40</f>
        <v/>
      </c>
      <c r="D41" s="13">
        <f>MAX(0,C41*$B$8/12)</f>
        <v/>
      </c>
      <c r="E41" s="13">
        <f>MAX(0,MIN(C41,$B$9-D41))</f>
        <v/>
      </c>
      <c r="F41" s="13">
        <f>MAX(0,C41-E41)</f>
        <v/>
      </c>
    </row>
    <row r="42">
      <c r="A42" s="11" t="n">
        <v>23</v>
      </c>
      <c r="B42" s="33" t="n">
        <v>45853</v>
      </c>
      <c r="C42" s="13">
        <f>F41</f>
        <v/>
      </c>
      <c r="D42" s="13">
        <f>MAX(0,C42*$B$8/12)</f>
        <v/>
      </c>
      <c r="E42" s="13">
        <f>MAX(0,MIN(C42,$B$9-D42))</f>
        <v/>
      </c>
      <c r="F42" s="13">
        <f>MAX(0,C42-E42)</f>
        <v/>
      </c>
    </row>
    <row r="43">
      <c r="A43" s="11" t="n">
        <v>24</v>
      </c>
      <c r="B43" s="33" t="n">
        <v>45884</v>
      </c>
      <c r="C43" s="13">
        <f>F42</f>
        <v/>
      </c>
      <c r="D43" s="13">
        <f>MAX(0,C43*$B$8/12)</f>
        <v/>
      </c>
      <c r="E43" s="13">
        <f>MAX(0,MIN(C43,$B$9-D43))</f>
        <v/>
      </c>
      <c r="F43" s="13">
        <f>MAX(0,C43-E43)</f>
        <v/>
      </c>
    </row>
    <row r="44">
      <c r="A44" s="11" t="n">
        <v>25</v>
      </c>
      <c r="B44" s="33" t="n">
        <v>45915</v>
      </c>
      <c r="C44" s="13">
        <f>F43</f>
        <v/>
      </c>
      <c r="D44" s="13">
        <f>MAX(0,C44*$B$8/12)</f>
        <v/>
      </c>
      <c r="E44" s="13">
        <f>MAX(0,MIN(C44,$B$9-D44))</f>
        <v/>
      </c>
      <c r="F44" s="13">
        <f>MAX(0,C44-E44)</f>
        <v/>
      </c>
    </row>
    <row r="45">
      <c r="A45" s="11" t="n">
        <v>26</v>
      </c>
      <c r="B45" s="33" t="n">
        <v>45945</v>
      </c>
      <c r="C45" s="13">
        <f>F44</f>
        <v/>
      </c>
      <c r="D45" s="13">
        <f>MAX(0,C45*$B$8/12)</f>
        <v/>
      </c>
      <c r="E45" s="13">
        <f>MAX(0,MIN(C45,$B$9-D45))</f>
        <v/>
      </c>
      <c r="F45" s="13">
        <f>MAX(0,C45-E45)</f>
        <v/>
      </c>
    </row>
    <row r="46">
      <c r="A46" s="11" t="n">
        <v>27</v>
      </c>
      <c r="B46" s="33" t="n">
        <v>45976</v>
      </c>
      <c r="C46" s="13">
        <f>F45</f>
        <v/>
      </c>
      <c r="D46" s="13">
        <f>MAX(0,C46*$B$8/12)</f>
        <v/>
      </c>
      <c r="E46" s="13">
        <f>MAX(0,MIN(C46,$B$9-D46))</f>
        <v/>
      </c>
      <c r="F46" s="13">
        <f>MAX(0,C46-E46)</f>
        <v/>
      </c>
    </row>
    <row r="47">
      <c r="A47" s="11" t="n">
        <v>28</v>
      </c>
      <c r="B47" s="33" t="n">
        <v>46006</v>
      </c>
      <c r="C47" s="13">
        <f>F46</f>
        <v/>
      </c>
      <c r="D47" s="13">
        <f>MAX(0,C47*$B$8/12)</f>
        <v/>
      </c>
      <c r="E47" s="13">
        <f>MAX(0,MIN(C47,$B$9-D47))</f>
        <v/>
      </c>
      <c r="F47" s="13">
        <f>MAX(0,C47-E47)</f>
        <v/>
      </c>
    </row>
    <row r="48">
      <c r="A48" s="11" t="n">
        <v>29</v>
      </c>
      <c r="B48" s="33" t="n">
        <v>46037</v>
      </c>
      <c r="C48" s="13">
        <f>F47</f>
        <v/>
      </c>
      <c r="D48" s="13">
        <f>MAX(0,C48*$B$8/12)</f>
        <v/>
      </c>
      <c r="E48" s="13">
        <f>MAX(0,MIN(C48,$B$9-D48))</f>
        <v/>
      </c>
      <c r="F48" s="13">
        <f>MAX(0,C48-E48)</f>
        <v/>
      </c>
    </row>
    <row r="49">
      <c r="A49" s="11" t="n">
        <v>30</v>
      </c>
      <c r="B49" s="33" t="n">
        <v>46068</v>
      </c>
      <c r="C49" s="13">
        <f>F48</f>
        <v/>
      </c>
      <c r="D49" s="13">
        <f>MAX(0,C49*$B$8/12)</f>
        <v/>
      </c>
      <c r="E49" s="13">
        <f>MAX(0,MIN(C49,$B$9-D49))</f>
        <v/>
      </c>
      <c r="F49" s="13">
        <f>MAX(0,C49-E49)</f>
        <v/>
      </c>
    </row>
    <row r="50">
      <c r="A50" s="11" t="n">
        <v>31</v>
      </c>
      <c r="B50" s="33" t="n">
        <v>46096</v>
      </c>
      <c r="C50" s="13">
        <f>F49</f>
        <v/>
      </c>
      <c r="D50" s="13">
        <f>MAX(0,C50*$B$8/12)</f>
        <v/>
      </c>
      <c r="E50" s="13">
        <f>MAX(0,MIN(C50,$B$9-D50))</f>
        <v/>
      </c>
      <c r="F50" s="13">
        <f>MAX(0,C50-E50)</f>
        <v/>
      </c>
    </row>
    <row r="51">
      <c r="A51" s="11" t="n">
        <v>32</v>
      </c>
      <c r="B51" s="33" t="n">
        <v>46127</v>
      </c>
      <c r="C51" s="13">
        <f>F50</f>
        <v/>
      </c>
      <c r="D51" s="13">
        <f>MAX(0,C51*$B$8/12)</f>
        <v/>
      </c>
      <c r="E51" s="13">
        <f>MAX(0,MIN(C51,$B$9-D51))</f>
        <v/>
      </c>
      <c r="F51" s="13">
        <f>MAX(0,C51-E51)</f>
        <v/>
      </c>
    </row>
    <row r="52">
      <c r="A52" s="11" t="n">
        <v>33</v>
      </c>
      <c r="B52" s="33" t="n">
        <v>46157</v>
      </c>
      <c r="C52" s="13">
        <f>F51</f>
        <v/>
      </c>
      <c r="D52" s="13">
        <f>MAX(0,C52*$B$8/12)</f>
        <v/>
      </c>
      <c r="E52" s="13">
        <f>MAX(0,MIN(C52,$B$9-D52))</f>
        <v/>
      </c>
      <c r="F52" s="13">
        <f>MAX(0,C52-E52)</f>
        <v/>
      </c>
    </row>
    <row r="53">
      <c r="A53" s="11" t="n">
        <v>34</v>
      </c>
      <c r="B53" s="33" t="n">
        <v>46188</v>
      </c>
      <c r="C53" s="13">
        <f>F52</f>
        <v/>
      </c>
      <c r="D53" s="13">
        <f>MAX(0,C53*$B$8/12)</f>
        <v/>
      </c>
      <c r="E53" s="13">
        <f>MAX(0,MIN(C53,$B$9-D53))</f>
        <v/>
      </c>
      <c r="F53" s="13">
        <f>MAX(0,C53-E53)</f>
        <v/>
      </c>
    </row>
    <row r="54">
      <c r="A54" s="11" t="n">
        <v>35</v>
      </c>
      <c r="B54" s="33" t="n">
        <v>46218</v>
      </c>
      <c r="C54" s="13">
        <f>F53</f>
        <v/>
      </c>
      <c r="D54" s="13">
        <f>MAX(0,C54*$B$8/12)</f>
        <v/>
      </c>
      <c r="E54" s="13">
        <f>MAX(0,MIN(C54,$B$9-D54))</f>
        <v/>
      </c>
      <c r="F54" s="13">
        <f>MAX(0,C54-E54)</f>
        <v/>
      </c>
    </row>
    <row r="55">
      <c r="A55" s="11" t="n">
        <v>36</v>
      </c>
      <c r="B55" s="33" t="n">
        <v>46249</v>
      </c>
      <c r="C55" s="13">
        <f>F54</f>
        <v/>
      </c>
      <c r="D55" s="13">
        <f>MAX(0,C55*$B$8/12)</f>
        <v/>
      </c>
      <c r="E55" s="13">
        <f>MAX(0,MIN(C55,$B$9-D55))</f>
        <v/>
      </c>
      <c r="F55" s="13">
        <f>MAX(0,C55-E55)</f>
        <v/>
      </c>
    </row>
    <row r="56">
      <c r="A56" s="11" t="n">
        <v>37</v>
      </c>
      <c r="B56" s="33" t="n">
        <v>46280</v>
      </c>
      <c r="C56" s="13">
        <f>F55</f>
        <v/>
      </c>
      <c r="D56" s="13">
        <f>MAX(0,C56*$B$8/12)</f>
        <v/>
      </c>
      <c r="E56" s="13">
        <f>MAX(0,MIN(C56,$B$9-D56))</f>
        <v/>
      </c>
      <c r="F56" s="13">
        <f>MAX(0,C56-E56)</f>
        <v/>
      </c>
    </row>
    <row r="57">
      <c r="A57" s="11" t="n">
        <v>38</v>
      </c>
      <c r="B57" s="33" t="n">
        <v>46310</v>
      </c>
      <c r="C57" s="13">
        <f>F56</f>
        <v/>
      </c>
      <c r="D57" s="13">
        <f>MAX(0,C57*$B$8/12)</f>
        <v/>
      </c>
      <c r="E57" s="13">
        <f>MAX(0,MIN(C57,$B$9-D57))</f>
        <v/>
      </c>
      <c r="F57" s="13">
        <f>MAX(0,C57-E57)</f>
        <v/>
      </c>
    </row>
    <row r="58">
      <c r="A58" s="11" t="n">
        <v>39</v>
      </c>
      <c r="B58" s="33" t="n">
        <v>46341</v>
      </c>
      <c r="C58" s="13">
        <f>F57</f>
        <v/>
      </c>
      <c r="D58" s="13">
        <f>MAX(0,C58*$B$8/12)</f>
        <v/>
      </c>
      <c r="E58" s="13">
        <f>MAX(0,MIN(C58,$B$9-D58))</f>
        <v/>
      </c>
      <c r="F58" s="13">
        <f>MAX(0,C58-E58)</f>
        <v/>
      </c>
    </row>
    <row r="59">
      <c r="A59" s="11" t="n">
        <v>40</v>
      </c>
      <c r="B59" s="33" t="n">
        <v>46371</v>
      </c>
      <c r="C59" s="13">
        <f>F58</f>
        <v/>
      </c>
      <c r="D59" s="13">
        <f>MAX(0,C59*$B$8/12)</f>
        <v/>
      </c>
      <c r="E59" s="13">
        <f>MAX(0,MIN(C59,$B$9-D59))</f>
        <v/>
      </c>
      <c r="F59" s="13">
        <f>MAX(0,C59-E59)</f>
        <v/>
      </c>
    </row>
    <row r="60">
      <c r="A60" s="11" t="n">
        <v>41</v>
      </c>
      <c r="B60" s="33" t="n">
        <v>46402</v>
      </c>
      <c r="C60" s="13">
        <f>F59</f>
        <v/>
      </c>
      <c r="D60" s="13">
        <f>MAX(0,C60*$B$8/12)</f>
        <v/>
      </c>
      <c r="E60" s="13">
        <f>MAX(0,MIN(C60,$B$9-D60))</f>
        <v/>
      </c>
      <c r="F60" s="13">
        <f>MAX(0,C60-E60)</f>
        <v/>
      </c>
    </row>
    <row r="61">
      <c r="A61" s="11" t="n">
        <v>42</v>
      </c>
      <c r="B61" s="33" t="n">
        <v>46433</v>
      </c>
      <c r="C61" s="13">
        <f>F60</f>
        <v/>
      </c>
      <c r="D61" s="13">
        <f>MAX(0,C61*$B$8/12)</f>
        <v/>
      </c>
      <c r="E61" s="13">
        <f>MAX(0,MIN(C61,$B$9-D61))</f>
        <v/>
      </c>
      <c r="F61" s="13">
        <f>MAX(0,C61-E61)</f>
        <v/>
      </c>
    </row>
    <row r="62">
      <c r="A62" s="11" t="n">
        <v>43</v>
      </c>
      <c r="B62" s="33" t="n">
        <v>46461</v>
      </c>
      <c r="C62" s="13">
        <f>F61</f>
        <v/>
      </c>
      <c r="D62" s="13">
        <f>MAX(0,C62*$B$8/12)</f>
        <v/>
      </c>
      <c r="E62" s="13">
        <f>MAX(0,MIN(C62,$B$9-D62))</f>
        <v/>
      </c>
      <c r="F62" s="13">
        <f>MAX(0,C62-E62)</f>
        <v/>
      </c>
    </row>
    <row r="63">
      <c r="A63" s="11" t="n">
        <v>44</v>
      </c>
      <c r="B63" s="33" t="n">
        <v>46492</v>
      </c>
      <c r="C63" s="13">
        <f>F62</f>
        <v/>
      </c>
      <c r="D63" s="13">
        <f>MAX(0,C63*$B$8/12)</f>
        <v/>
      </c>
      <c r="E63" s="13">
        <f>MAX(0,MIN(C63,$B$9-D63))</f>
        <v/>
      </c>
      <c r="F63" s="13">
        <f>MAX(0,C63-E63)</f>
        <v/>
      </c>
    </row>
    <row r="64">
      <c r="A64" s="11" t="n">
        <v>45</v>
      </c>
      <c r="B64" s="33" t="n">
        <v>46522</v>
      </c>
      <c r="C64" s="13">
        <f>F63</f>
        <v/>
      </c>
      <c r="D64" s="13">
        <f>MAX(0,C64*$B$8/12)</f>
        <v/>
      </c>
      <c r="E64" s="13">
        <f>MAX(0,MIN(C64,$B$9-D64))</f>
        <v/>
      </c>
      <c r="F64" s="13">
        <f>MAX(0,C64-E64)</f>
        <v/>
      </c>
    </row>
    <row r="65">
      <c r="A65" s="11" t="n">
        <v>46</v>
      </c>
      <c r="B65" s="33" t="n">
        <v>46553</v>
      </c>
      <c r="C65" s="13">
        <f>F64</f>
        <v/>
      </c>
      <c r="D65" s="13">
        <f>MAX(0,C65*$B$8/12)</f>
        <v/>
      </c>
      <c r="E65" s="13">
        <f>MAX(0,MIN(C65,$B$9-D65))</f>
        <v/>
      </c>
      <c r="F65" s="13">
        <f>MAX(0,C65-E65)</f>
        <v/>
      </c>
    </row>
    <row r="66">
      <c r="A66" s="11" t="n">
        <v>47</v>
      </c>
      <c r="B66" s="33" t="n">
        <v>46583</v>
      </c>
      <c r="C66" s="13">
        <f>F65</f>
        <v/>
      </c>
      <c r="D66" s="13">
        <f>MAX(0,C66*$B$8/12)</f>
        <v/>
      </c>
      <c r="E66" s="13">
        <f>MAX(0,MIN(C66,$B$9-D66))</f>
        <v/>
      </c>
      <c r="F66" s="13">
        <f>MAX(0,C66-E66)</f>
        <v/>
      </c>
    </row>
    <row r="67">
      <c r="A67" s="11" t="n">
        <v>48</v>
      </c>
      <c r="B67" s="33" t="n">
        <v>46614</v>
      </c>
      <c r="C67" s="13">
        <f>F66</f>
        <v/>
      </c>
      <c r="D67" s="13">
        <f>MAX(0,C67*$B$8/12)</f>
        <v/>
      </c>
      <c r="E67" s="13">
        <f>MAX(0,MIN(C67,$B$9-D67))</f>
        <v/>
      </c>
      <c r="F67" s="13">
        <f>MAX(0,C67-E67)</f>
        <v/>
      </c>
    </row>
    <row r="68">
      <c r="A68" s="11" t="n">
        <v>49</v>
      </c>
      <c r="B68" s="33" t="n">
        <v>46645</v>
      </c>
      <c r="C68" s="13">
        <f>F67</f>
        <v/>
      </c>
      <c r="D68" s="13">
        <f>MAX(0,C68*$B$8/12)</f>
        <v/>
      </c>
      <c r="E68" s="13">
        <f>MAX(0,MIN(C68,$B$9-D68))</f>
        <v/>
      </c>
      <c r="F68" s="13">
        <f>MAX(0,C68-E68)</f>
        <v/>
      </c>
    </row>
    <row r="69">
      <c r="A69" s="11" t="n">
        <v>50</v>
      </c>
      <c r="B69" s="33" t="n">
        <v>46675</v>
      </c>
      <c r="C69" s="13">
        <f>F68</f>
        <v/>
      </c>
      <c r="D69" s="13">
        <f>MAX(0,C69*$B$8/12)</f>
        <v/>
      </c>
      <c r="E69" s="13">
        <f>MAX(0,MIN(C69,$B$9-D69))</f>
        <v/>
      </c>
      <c r="F69" s="13">
        <f>MAX(0,C69-E69)</f>
        <v/>
      </c>
    </row>
    <row r="70">
      <c r="A70" s="11" t="n">
        <v>51</v>
      </c>
      <c r="B70" s="33" t="n">
        <v>46706</v>
      </c>
      <c r="C70" s="13">
        <f>F69</f>
        <v/>
      </c>
      <c r="D70" s="13">
        <f>MAX(0,C70*$B$8/12)</f>
        <v/>
      </c>
      <c r="E70" s="13">
        <f>MAX(0,MIN(C70,$B$9-D70))</f>
        <v/>
      </c>
      <c r="F70" s="13">
        <f>MAX(0,C70-E70)</f>
        <v/>
      </c>
    </row>
    <row r="71">
      <c r="A71" s="11" t="n">
        <v>52</v>
      </c>
      <c r="B71" s="33" t="n">
        <v>46736</v>
      </c>
      <c r="C71" s="13">
        <f>F70</f>
        <v/>
      </c>
      <c r="D71" s="13">
        <f>MAX(0,C71*$B$8/12)</f>
        <v/>
      </c>
      <c r="E71" s="13">
        <f>MAX(0,MIN(C71,$B$9-D71))</f>
        <v/>
      </c>
      <c r="F71" s="13">
        <f>MAX(0,C71-E71)</f>
        <v/>
      </c>
    </row>
    <row r="72">
      <c r="A72" s="11" t="n">
        <v>53</v>
      </c>
      <c r="B72" s="33" t="n">
        <v>46767</v>
      </c>
      <c r="C72" s="13">
        <f>F71</f>
        <v/>
      </c>
      <c r="D72" s="13">
        <f>MAX(0,C72*$B$8/12)</f>
        <v/>
      </c>
      <c r="E72" s="13">
        <f>MAX(0,MIN(C72,$B$9-D72))</f>
        <v/>
      </c>
      <c r="F72" s="13">
        <f>MAX(0,C72-E72)</f>
        <v/>
      </c>
    </row>
    <row r="73">
      <c r="A73" s="11" t="n">
        <v>54</v>
      </c>
      <c r="B73" s="33" t="n">
        <v>46798</v>
      </c>
      <c r="C73" s="13">
        <f>F72</f>
        <v/>
      </c>
      <c r="D73" s="13">
        <f>MAX(0,C73*$B$8/12)</f>
        <v/>
      </c>
      <c r="E73" s="13">
        <f>MAX(0,MIN(C73,$B$9-D73))</f>
        <v/>
      </c>
      <c r="F73" s="13">
        <f>MAX(0,C73-E73)</f>
        <v/>
      </c>
    </row>
    <row r="74">
      <c r="A74" s="11" t="n">
        <v>55</v>
      </c>
      <c r="B74" s="33" t="n">
        <v>46827</v>
      </c>
      <c r="C74" s="13">
        <f>F73</f>
        <v/>
      </c>
      <c r="D74" s="13">
        <f>MAX(0,C74*$B$8/12)</f>
        <v/>
      </c>
      <c r="E74" s="13">
        <f>MAX(0,MIN(C74,$B$9-D74))</f>
        <v/>
      </c>
      <c r="F74" s="13">
        <f>MAX(0,C74-E74)</f>
        <v/>
      </c>
    </row>
    <row r="75">
      <c r="A75" s="11" t="n">
        <v>56</v>
      </c>
      <c r="B75" s="33" t="n">
        <v>46858</v>
      </c>
      <c r="C75" s="13">
        <f>F74</f>
        <v/>
      </c>
      <c r="D75" s="13">
        <f>MAX(0,C75*$B$8/12)</f>
        <v/>
      </c>
      <c r="E75" s="13">
        <f>MAX(0,MIN(C75,$B$9-D75))</f>
        <v/>
      </c>
      <c r="F75" s="13">
        <f>MAX(0,C75-E75)</f>
        <v/>
      </c>
    </row>
    <row r="76">
      <c r="A76" s="11" t="n">
        <v>57</v>
      </c>
      <c r="B76" s="33" t="n">
        <v>46888</v>
      </c>
      <c r="C76" s="13">
        <f>F75</f>
        <v/>
      </c>
      <c r="D76" s="13">
        <f>MAX(0,C76*$B$8/12)</f>
        <v/>
      </c>
      <c r="E76" s="13">
        <f>MAX(0,MIN(C76,$B$9-D76))</f>
        <v/>
      </c>
      <c r="F76" s="13">
        <f>MAX(0,C76-E76)</f>
        <v/>
      </c>
    </row>
    <row r="77">
      <c r="A77" s="11" t="n">
        <v>58</v>
      </c>
      <c r="B77" s="33" t="n">
        <v>46919</v>
      </c>
      <c r="C77" s="13">
        <f>F76</f>
        <v/>
      </c>
      <c r="D77" s="13">
        <f>MAX(0,C77*$B$8/12)</f>
        <v/>
      </c>
      <c r="E77" s="13">
        <f>MAX(0,MIN(C77,$B$9-D77))</f>
        <v/>
      </c>
      <c r="F77" s="13">
        <f>MAX(0,C77-E77)</f>
        <v/>
      </c>
    </row>
    <row r="78">
      <c r="A78" s="11" t="n">
        <v>59</v>
      </c>
      <c r="B78" s="33" t="n">
        <v>46949</v>
      </c>
      <c r="C78" s="13">
        <f>F77</f>
        <v/>
      </c>
      <c r="D78" s="13">
        <f>MAX(0,C78*$B$8/12)</f>
        <v/>
      </c>
      <c r="E78" s="13">
        <f>MAX(0,MIN(C78,$B$9-D78))</f>
        <v/>
      </c>
      <c r="F78" s="13">
        <f>MAX(0,C78-E78)</f>
        <v/>
      </c>
    </row>
    <row r="79">
      <c r="A79" s="11" t="n">
        <v>60</v>
      </c>
      <c r="B79" s="33" t="n">
        <v>46980</v>
      </c>
      <c r="C79" s="13">
        <f>F78</f>
        <v/>
      </c>
      <c r="D79" s="13">
        <f>MAX(0,C79*$B$8/12)</f>
        <v/>
      </c>
      <c r="E79" s="13">
        <f>MAX(0,MIN(C79,$B$9-D79))</f>
        <v/>
      </c>
      <c r="F79" s="13">
        <f>MAX(0,C79-E79)</f>
        <v/>
      </c>
    </row>
    <row r="80">
      <c r="A80" s="11" t="n">
        <v>61</v>
      </c>
      <c r="B80" s="33" t="n">
        <v>47011</v>
      </c>
      <c r="C80" s="13">
        <f>F79</f>
        <v/>
      </c>
      <c r="D80" s="13">
        <f>MAX(0,C80*$B$8/12)</f>
        <v/>
      </c>
      <c r="E80" s="13">
        <f>MAX(0,MIN(C80,$B$9-D80))</f>
        <v/>
      </c>
      <c r="F80" s="13">
        <f>MAX(0,C80-E80)</f>
        <v/>
      </c>
    </row>
    <row r="81">
      <c r="A81" s="11" t="n">
        <v>62</v>
      </c>
      <c r="B81" s="33" t="n">
        <v>47041</v>
      </c>
      <c r="C81" s="13">
        <f>F80</f>
        <v/>
      </c>
      <c r="D81" s="13">
        <f>MAX(0,C81*$B$8/12)</f>
        <v/>
      </c>
      <c r="E81" s="13">
        <f>MAX(0,MIN(C81,$B$9-D81))</f>
        <v/>
      </c>
      <c r="F81" s="13">
        <f>MAX(0,C81-E81)</f>
        <v/>
      </c>
    </row>
    <row r="82">
      <c r="A82" s="11" t="n">
        <v>63</v>
      </c>
      <c r="B82" s="33" t="n">
        <v>47072</v>
      </c>
      <c r="C82" s="13">
        <f>F81</f>
        <v/>
      </c>
      <c r="D82" s="13">
        <f>MAX(0,C82*$B$8/12)</f>
        <v/>
      </c>
      <c r="E82" s="13">
        <f>MAX(0,MIN(C82,$B$9-D82))</f>
        <v/>
      </c>
      <c r="F82" s="13">
        <f>MAX(0,C82-E82)</f>
        <v/>
      </c>
    </row>
    <row r="83">
      <c r="A83" s="11" t="n">
        <v>64</v>
      </c>
      <c r="B83" s="33" t="n">
        <v>47102</v>
      </c>
      <c r="C83" s="13">
        <f>F82</f>
        <v/>
      </c>
      <c r="D83" s="13">
        <f>MAX(0,C83*$B$8/12)</f>
        <v/>
      </c>
      <c r="E83" s="13">
        <f>MAX(0,MIN(C83,$B$9-D83))</f>
        <v/>
      </c>
      <c r="F83" s="13">
        <f>MAX(0,C83-E83)</f>
        <v/>
      </c>
    </row>
    <row r="84">
      <c r="A84" s="11" t="n">
        <v>65</v>
      </c>
      <c r="B84" s="33" t="n">
        <v>47133</v>
      </c>
      <c r="C84" s="13">
        <f>F83</f>
        <v/>
      </c>
      <c r="D84" s="13">
        <f>MAX(0,C84*$B$8/12)</f>
        <v/>
      </c>
      <c r="E84" s="13">
        <f>MAX(0,MIN(C84,$B$9-D84))</f>
        <v/>
      </c>
      <c r="F84" s="13">
        <f>MAX(0,C84-E84)</f>
        <v/>
      </c>
    </row>
    <row r="85">
      <c r="A85" s="11" t="n">
        <v>66</v>
      </c>
      <c r="B85" s="33" t="n">
        <v>47164</v>
      </c>
      <c r="C85" s="13">
        <f>F84</f>
        <v/>
      </c>
      <c r="D85" s="13">
        <f>MAX(0,C85*$B$8/12)</f>
        <v/>
      </c>
      <c r="E85" s="13">
        <f>MAX(0,MIN(C85,$B$9-D85))</f>
        <v/>
      </c>
      <c r="F85" s="13">
        <f>MAX(0,C85-E85)</f>
        <v/>
      </c>
    </row>
    <row r="87">
      <c r="A87" s="55" t="inlineStr">
        <is>
          <t>ANNUAL SUMMARY</t>
        </is>
      </c>
      <c r="B87" s="56" t="n"/>
      <c r="C87" s="56" t="n"/>
      <c r="D87" s="56" t="n"/>
      <c r="E87" s="56" t="n"/>
      <c r="F87" s="56" t="n"/>
    </row>
    <row r="88">
      <c r="A88" s="57" t="inlineStr">
        <is>
          <t>Year</t>
        </is>
      </c>
      <c r="B88" s="57" t="inlineStr">
        <is>
          <t>Opening</t>
        </is>
      </c>
      <c r="C88" s="57" t="inlineStr">
        <is>
          <t>Interest</t>
        </is>
      </c>
      <c r="D88" s="57" t="inlineStr">
        <is>
          <t>Principal</t>
        </is>
      </c>
      <c r="E88" s="57" t="inlineStr">
        <is>
          <t>Closing</t>
        </is>
      </c>
    </row>
    <row r="89">
      <c r="A89" s="58" t="n">
        <v>2023</v>
      </c>
      <c r="B89" s="59">
        <f>C20</f>
        <v/>
      </c>
      <c r="C89" s="59">
        <f>SUM(D20:D23)</f>
        <v/>
      </c>
      <c r="D89" s="59">
        <f>SUM(E20:E23)</f>
        <v/>
      </c>
      <c r="E89" s="59">
        <f>F23</f>
        <v/>
      </c>
    </row>
    <row r="90">
      <c r="A90" s="58" t="n">
        <v>2024</v>
      </c>
      <c r="B90" s="59">
        <f>C24</f>
        <v/>
      </c>
      <c r="C90" s="59">
        <f>SUM(D24:D35)</f>
        <v/>
      </c>
      <c r="D90" s="59">
        <f>SUM(E24:E35)</f>
        <v/>
      </c>
      <c r="E90" s="59">
        <f>F35</f>
        <v/>
      </c>
    </row>
    <row r="91">
      <c r="A91" s="58" t="n">
        <v>2025</v>
      </c>
      <c r="B91" s="59">
        <f>C36</f>
        <v/>
      </c>
      <c r="C91" s="59">
        <f>SUM(D36:D47)</f>
        <v/>
      </c>
      <c r="D91" s="59">
        <f>SUM(E36:E47)</f>
        <v/>
      </c>
      <c r="E91" s="59">
        <f>F47</f>
        <v/>
      </c>
    </row>
    <row r="92">
      <c r="A92" s="58" t="n">
        <v>2026</v>
      </c>
      <c r="B92" s="59">
        <f>C48</f>
        <v/>
      </c>
      <c r="C92" s="59">
        <f>SUM(D48:D59)</f>
        <v/>
      </c>
      <c r="D92" s="59">
        <f>SUM(E48:E59)</f>
        <v/>
      </c>
      <c r="E92" s="59">
        <f>F59</f>
        <v/>
      </c>
    </row>
    <row r="93">
      <c r="A93" s="58" t="n">
        <v>2027</v>
      </c>
      <c r="B93" s="59">
        <f>C60</f>
        <v/>
      </c>
      <c r="C93" s="59">
        <f>SUM(D60:D71)</f>
        <v/>
      </c>
      <c r="D93" s="59">
        <f>SUM(E60:E71)</f>
        <v/>
      </c>
      <c r="E93" s="59">
        <f>F71</f>
        <v/>
      </c>
    </row>
    <row r="94">
      <c r="A94" s="58" t="n">
        <v>2028</v>
      </c>
      <c r="B94" s="59">
        <f>C72</f>
        <v/>
      </c>
      <c r="C94" s="59">
        <f>SUM(D72:D83)</f>
        <v/>
      </c>
      <c r="D94" s="59">
        <f>SUM(E72:E83)</f>
        <v/>
      </c>
      <c r="E94" s="59">
        <f>F83</f>
        <v/>
      </c>
    </row>
    <row r="95">
      <c r="A95" s="58" t="n">
        <v>2029</v>
      </c>
      <c r="B95" s="59">
        <f>C84</f>
        <v/>
      </c>
      <c r="C95" s="59">
        <f>SUM(D84:D85)</f>
        <v/>
      </c>
      <c r="D95" s="59">
        <f>SUM(E84:E85)</f>
        <v/>
      </c>
      <c r="E95" s="59">
        <f>F85</f>
        <v/>
      </c>
    </row>
    <row r="97">
      <c r="A97" s="1" t="inlineStr">
        <is>
          <t>Current Balance:</t>
        </is>
      </c>
      <c r="B97" s="60">
        <f>$B$7</f>
        <v/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67.xml><?xml version="1.0" encoding="utf-8"?>
<worksheet xmlns="http://schemas.openxmlformats.org/spreadsheetml/2006/main">
  <sheetPr>
    <tabColor rgb="00808080"/>
    <outlinePr summaryBelow="1" summaryRight="1"/>
    <pageSetUpPr/>
  </sheetPr>
  <dimension ref="A1:F97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6" customWidth="1" min="3" max="3"/>
    <col width="14" customWidth="1" min="4" max="4"/>
    <col width="14" customWidth="1" min="5" max="5"/>
    <col width="16" customWidth="1" min="6" max="6"/>
    <col width="14" customWidth="1" min="7" max="7"/>
  </cols>
  <sheetData>
    <row r="1">
      <c r="A1" s="51" t="inlineStr">
        <is>
          <t>LOAN DETAIL SHEET</t>
        </is>
      </c>
      <c r="B1" s="3" t="n"/>
      <c r="C1" s="3" t="n"/>
      <c r="D1" s="3" t="n"/>
      <c r="E1" s="3" t="n"/>
      <c r="F1" s="3" t="n"/>
    </row>
    <row r="2">
      <c r="A2" t="inlineStr">
        <is>
          <t>Lender:</t>
        </is>
      </c>
      <c r="B2" s="4" t="inlineStr">
        <is>
          <t>Atlantic Union Equipment Finance</t>
        </is>
      </c>
    </row>
    <row r="3">
      <c r="A3" t="inlineStr">
        <is>
          <t>Loan ID:</t>
        </is>
      </c>
      <c r="B3" s="4" t="inlineStr">
        <is>
          <t>05-2987-001-000-00</t>
        </is>
      </c>
    </row>
    <row r="4">
      <c r="A4" t="inlineStr">
        <is>
          <t>Description:</t>
        </is>
      </c>
      <c r="B4" s="4" t="inlineStr">
        <is>
          <t>3 T680 Sleepers</t>
        </is>
      </c>
    </row>
    <row r="5">
      <c r="A5" t="inlineStr">
        <is>
          <t>Collateral:</t>
        </is>
      </c>
      <c r="B5" s="4" t="inlineStr">
        <is>
          <t>Equipment - Semi Trucks</t>
        </is>
      </c>
    </row>
    <row r="6">
      <c r="A6" t="inlineStr">
        <is>
          <t>Original Balance:</t>
        </is>
      </c>
      <c r="B6" s="5" t="n">
        <v>535989</v>
      </c>
    </row>
    <row r="7">
      <c r="A7" t="inlineStr">
        <is>
          <t>Balance 12/31/25:</t>
        </is>
      </c>
      <c r="B7" s="5" t="n">
        <v>347776</v>
      </c>
    </row>
    <row r="8">
      <c r="A8" t="inlineStr">
        <is>
          <t>Annual Rate:</t>
        </is>
      </c>
      <c r="B8" s="6" t="n">
        <v>0.0659</v>
      </c>
    </row>
    <row r="9">
      <c r="A9" t="inlineStr">
        <is>
          <t>Monthly Payment:</t>
        </is>
      </c>
      <c r="B9" s="5" t="n">
        <v>9704</v>
      </c>
    </row>
    <row r="10">
      <c r="A10" t="inlineStr">
        <is>
          <t>Maturity Date:</t>
        </is>
      </c>
      <c r="B10" s="52" t="n">
        <v>47228</v>
      </c>
    </row>
    <row r="12">
      <c r="A12" s="53" t="inlineStr">
        <is>
          <t>AI ANALYSIS</t>
        </is>
      </c>
      <c r="B12" s="9" t="n"/>
      <c r="C12" s="9" t="n"/>
      <c r="D12" s="9" t="n"/>
      <c r="E12" s="9" t="n"/>
      <c r="F12" s="9" t="n"/>
    </row>
    <row r="13">
      <c r="A13" s="9" t="inlineStr">
        <is>
          <t>Loan Type:</t>
        </is>
      </c>
      <c r="B13" s="9" t="inlineStr">
        <is>
          <t>AMORTIZING</t>
        </is>
      </c>
    </row>
    <row r="14">
      <c r="A14" s="9" t="inlineStr">
        <is>
          <t>Classification:</t>
        </is>
      </c>
      <c r="B14" s="9" t="inlineStr">
        <is>
          <t>Equipment Finance - Standard Amortization</t>
        </is>
      </c>
    </row>
    <row r="15">
      <c r="A15" s="9" t="inlineStr">
        <is>
          <t>Term (months):</t>
        </is>
      </c>
      <c r="B15" s="9" t="n">
        <v>66</v>
      </c>
    </row>
    <row r="16">
      <c r="A16" s="9" t="inlineStr">
        <is>
          <t>Months Remaining:</t>
        </is>
      </c>
      <c r="B16" s="9" t="n">
        <v>40</v>
      </c>
    </row>
    <row r="17">
      <c r="A17" s="9" t="inlineStr">
        <is>
          <t>Notes:</t>
        </is>
      </c>
      <c r="B17" s="9" t="inlineStr">
        <is>
          <t>Standard amortizing equipment loan secured by equipment - semi trucks.</t>
        </is>
      </c>
    </row>
    <row r="19">
      <c r="A19" s="54" t="inlineStr">
        <is>
          <t>Month #</t>
        </is>
      </c>
      <c r="B19" s="54" t="inlineStr">
        <is>
          <t>Date</t>
        </is>
      </c>
      <c r="C19" s="54" t="inlineStr">
        <is>
          <t>Opening</t>
        </is>
      </c>
      <c r="D19" s="54" t="inlineStr">
        <is>
          <t>Interest</t>
        </is>
      </c>
      <c r="E19" s="54" t="inlineStr">
        <is>
          <t>Principal</t>
        </is>
      </c>
      <c r="F19" s="54" t="inlineStr">
        <is>
          <t>Closing</t>
        </is>
      </c>
    </row>
    <row r="20">
      <c r="A20" s="11" t="n">
        <v>1</v>
      </c>
      <c r="B20" s="33" t="n">
        <v>45250</v>
      </c>
      <c r="C20" s="13">
        <f>$B$6</f>
        <v/>
      </c>
      <c r="D20" s="13">
        <f>MAX(0,C20*$B$8/12)</f>
        <v/>
      </c>
      <c r="E20" s="13">
        <f>MAX(0,MIN(C20,$B$9-D20))</f>
        <v/>
      </c>
      <c r="F20" s="13">
        <f>MAX(0,C20-E20)</f>
        <v/>
      </c>
    </row>
    <row r="21">
      <c r="A21" s="11" t="n">
        <v>2</v>
      </c>
      <c r="B21" s="33" t="n">
        <v>45280</v>
      </c>
      <c r="C21" s="13">
        <f>F20</f>
        <v/>
      </c>
      <c r="D21" s="13">
        <f>MAX(0,C21*$B$8/12)</f>
        <v/>
      </c>
      <c r="E21" s="13">
        <f>MAX(0,MIN(C21,$B$9-D21))</f>
        <v/>
      </c>
      <c r="F21" s="13">
        <f>MAX(0,C21-E21)</f>
        <v/>
      </c>
    </row>
    <row r="22">
      <c r="A22" s="11" t="n">
        <v>3</v>
      </c>
      <c r="B22" s="33" t="n">
        <v>45311</v>
      </c>
      <c r="C22" s="13">
        <f>F21</f>
        <v/>
      </c>
      <c r="D22" s="13">
        <f>MAX(0,C22*$B$8/12)</f>
        <v/>
      </c>
      <c r="E22" s="13">
        <f>MAX(0,MIN(C22,$B$9-D22))</f>
        <v/>
      </c>
      <c r="F22" s="13">
        <f>MAX(0,C22-E22)</f>
        <v/>
      </c>
    </row>
    <row r="23">
      <c r="A23" s="11" t="n">
        <v>4</v>
      </c>
      <c r="B23" s="33" t="n">
        <v>45342</v>
      </c>
      <c r="C23" s="13">
        <f>F22</f>
        <v/>
      </c>
      <c r="D23" s="13">
        <f>MAX(0,C23*$B$8/12)</f>
        <v/>
      </c>
      <c r="E23" s="13">
        <f>MAX(0,MIN(C23,$B$9-D23))</f>
        <v/>
      </c>
      <c r="F23" s="13">
        <f>MAX(0,C23-E23)</f>
        <v/>
      </c>
    </row>
    <row r="24">
      <c r="A24" s="11" t="n">
        <v>5</v>
      </c>
      <c r="B24" s="33" t="n">
        <v>45371</v>
      </c>
      <c r="C24" s="13">
        <f>F23</f>
        <v/>
      </c>
      <c r="D24" s="13">
        <f>MAX(0,C24*$B$8/12)</f>
        <v/>
      </c>
      <c r="E24" s="13">
        <f>MAX(0,MIN(C24,$B$9-D24))</f>
        <v/>
      </c>
      <c r="F24" s="13">
        <f>MAX(0,C24-E24)</f>
        <v/>
      </c>
    </row>
    <row r="25">
      <c r="A25" s="11" t="n">
        <v>6</v>
      </c>
      <c r="B25" s="33" t="n">
        <v>45402</v>
      </c>
      <c r="C25" s="13">
        <f>F24</f>
        <v/>
      </c>
      <c r="D25" s="13">
        <f>MAX(0,C25*$B$8/12)</f>
        <v/>
      </c>
      <c r="E25" s="13">
        <f>MAX(0,MIN(C25,$B$9-D25))</f>
        <v/>
      </c>
      <c r="F25" s="13">
        <f>MAX(0,C25-E25)</f>
        <v/>
      </c>
    </row>
    <row r="26">
      <c r="A26" s="11" t="n">
        <v>7</v>
      </c>
      <c r="B26" s="33" t="n">
        <v>45432</v>
      </c>
      <c r="C26" s="13">
        <f>F25</f>
        <v/>
      </c>
      <c r="D26" s="13">
        <f>MAX(0,C26*$B$8/12)</f>
        <v/>
      </c>
      <c r="E26" s="13">
        <f>MAX(0,MIN(C26,$B$9-D26))</f>
        <v/>
      </c>
      <c r="F26" s="13">
        <f>MAX(0,C26-E26)</f>
        <v/>
      </c>
    </row>
    <row r="27">
      <c r="A27" s="11" t="n">
        <v>8</v>
      </c>
      <c r="B27" s="33" t="n">
        <v>45463</v>
      </c>
      <c r="C27" s="13">
        <f>F26</f>
        <v/>
      </c>
      <c r="D27" s="13">
        <f>MAX(0,C27*$B$8/12)</f>
        <v/>
      </c>
      <c r="E27" s="13">
        <f>MAX(0,MIN(C27,$B$9-D27))</f>
        <v/>
      </c>
      <c r="F27" s="13">
        <f>MAX(0,C27-E27)</f>
        <v/>
      </c>
    </row>
    <row r="28">
      <c r="A28" s="11" t="n">
        <v>9</v>
      </c>
      <c r="B28" s="33" t="n">
        <v>45493</v>
      </c>
      <c r="C28" s="13">
        <f>F27</f>
        <v/>
      </c>
      <c r="D28" s="13">
        <f>MAX(0,C28*$B$8/12)</f>
        <v/>
      </c>
      <c r="E28" s="13">
        <f>MAX(0,MIN(C28,$B$9-D28))</f>
        <v/>
      </c>
      <c r="F28" s="13">
        <f>MAX(0,C28-E28)</f>
        <v/>
      </c>
    </row>
    <row r="29">
      <c r="A29" s="11" t="n">
        <v>10</v>
      </c>
      <c r="B29" s="33" t="n">
        <v>45524</v>
      </c>
      <c r="C29" s="13">
        <f>F28</f>
        <v/>
      </c>
      <c r="D29" s="13">
        <f>MAX(0,C29*$B$8/12)</f>
        <v/>
      </c>
      <c r="E29" s="13">
        <f>MAX(0,MIN(C29,$B$9-D29))</f>
        <v/>
      </c>
      <c r="F29" s="13">
        <f>MAX(0,C29-E29)</f>
        <v/>
      </c>
    </row>
    <row r="30">
      <c r="A30" s="11" t="n">
        <v>11</v>
      </c>
      <c r="B30" s="33" t="n">
        <v>45555</v>
      </c>
      <c r="C30" s="13">
        <f>F29</f>
        <v/>
      </c>
      <c r="D30" s="13">
        <f>MAX(0,C30*$B$8/12)</f>
        <v/>
      </c>
      <c r="E30" s="13">
        <f>MAX(0,MIN(C30,$B$9-D30))</f>
        <v/>
      </c>
      <c r="F30" s="13">
        <f>MAX(0,C30-E30)</f>
        <v/>
      </c>
    </row>
    <row r="31">
      <c r="A31" s="11" t="n">
        <v>12</v>
      </c>
      <c r="B31" s="33" t="n">
        <v>45585</v>
      </c>
      <c r="C31" s="13">
        <f>F30</f>
        <v/>
      </c>
      <c r="D31" s="13">
        <f>MAX(0,C31*$B$8/12)</f>
        <v/>
      </c>
      <c r="E31" s="13">
        <f>MAX(0,MIN(C31,$B$9-D31))</f>
        <v/>
      </c>
      <c r="F31" s="13">
        <f>MAX(0,C31-E31)</f>
        <v/>
      </c>
    </row>
    <row r="32">
      <c r="A32" s="11" t="n">
        <v>13</v>
      </c>
      <c r="B32" s="33" t="n">
        <v>45616</v>
      </c>
      <c r="C32" s="13">
        <f>F31</f>
        <v/>
      </c>
      <c r="D32" s="13">
        <f>MAX(0,C32*$B$8/12)</f>
        <v/>
      </c>
      <c r="E32" s="13">
        <f>MAX(0,MIN(C32,$B$9-D32))</f>
        <v/>
      </c>
      <c r="F32" s="13">
        <f>MAX(0,C32-E32)</f>
        <v/>
      </c>
    </row>
    <row r="33">
      <c r="A33" s="11" t="n">
        <v>14</v>
      </c>
      <c r="B33" s="33" t="n">
        <v>45646</v>
      </c>
      <c r="C33" s="13">
        <f>F32</f>
        <v/>
      </c>
      <c r="D33" s="13">
        <f>MAX(0,C33*$B$8/12)</f>
        <v/>
      </c>
      <c r="E33" s="13">
        <f>MAX(0,MIN(C33,$B$9-D33))</f>
        <v/>
      </c>
      <c r="F33" s="13">
        <f>MAX(0,C33-E33)</f>
        <v/>
      </c>
    </row>
    <row r="34">
      <c r="A34" s="11" t="n">
        <v>15</v>
      </c>
      <c r="B34" s="33" t="n">
        <v>45677</v>
      </c>
      <c r="C34" s="13">
        <f>F33</f>
        <v/>
      </c>
      <c r="D34" s="13">
        <f>MAX(0,C34*$B$8/12)</f>
        <v/>
      </c>
      <c r="E34" s="13">
        <f>MAX(0,MIN(C34,$B$9-D34))</f>
        <v/>
      </c>
      <c r="F34" s="13">
        <f>MAX(0,C34-E34)</f>
        <v/>
      </c>
    </row>
    <row r="35">
      <c r="A35" s="11" t="n">
        <v>16</v>
      </c>
      <c r="B35" s="33" t="n">
        <v>45708</v>
      </c>
      <c r="C35" s="13">
        <f>F34</f>
        <v/>
      </c>
      <c r="D35" s="13">
        <f>MAX(0,C35*$B$8/12)</f>
        <v/>
      </c>
      <c r="E35" s="13">
        <f>MAX(0,MIN(C35,$B$9-D35))</f>
        <v/>
      </c>
      <c r="F35" s="13">
        <f>MAX(0,C35-E35)</f>
        <v/>
      </c>
    </row>
    <row r="36">
      <c r="A36" s="11" t="n">
        <v>17</v>
      </c>
      <c r="B36" s="33" t="n">
        <v>45736</v>
      </c>
      <c r="C36" s="13">
        <f>F35</f>
        <v/>
      </c>
      <c r="D36" s="13">
        <f>MAX(0,C36*$B$8/12)</f>
        <v/>
      </c>
      <c r="E36" s="13">
        <f>MAX(0,MIN(C36,$B$9-D36))</f>
        <v/>
      </c>
      <c r="F36" s="13">
        <f>MAX(0,C36-E36)</f>
        <v/>
      </c>
    </row>
    <row r="37">
      <c r="A37" s="11" t="n">
        <v>18</v>
      </c>
      <c r="B37" s="33" t="n">
        <v>45767</v>
      </c>
      <c r="C37" s="13">
        <f>F36</f>
        <v/>
      </c>
      <c r="D37" s="13">
        <f>MAX(0,C37*$B$8/12)</f>
        <v/>
      </c>
      <c r="E37" s="13">
        <f>MAX(0,MIN(C37,$B$9-D37))</f>
        <v/>
      </c>
      <c r="F37" s="13">
        <f>MAX(0,C37-E37)</f>
        <v/>
      </c>
    </row>
    <row r="38">
      <c r="A38" s="11" t="n">
        <v>19</v>
      </c>
      <c r="B38" s="33" t="n">
        <v>45797</v>
      </c>
      <c r="C38" s="13">
        <f>F37</f>
        <v/>
      </c>
      <c r="D38" s="13">
        <f>MAX(0,C38*$B$8/12)</f>
        <v/>
      </c>
      <c r="E38" s="13">
        <f>MAX(0,MIN(C38,$B$9-D38))</f>
        <v/>
      </c>
      <c r="F38" s="13">
        <f>MAX(0,C38-E38)</f>
        <v/>
      </c>
    </row>
    <row r="39">
      <c r="A39" s="11" t="n">
        <v>20</v>
      </c>
      <c r="B39" s="33" t="n">
        <v>45828</v>
      </c>
      <c r="C39" s="13">
        <f>F38</f>
        <v/>
      </c>
      <c r="D39" s="13">
        <f>MAX(0,C39*$B$8/12)</f>
        <v/>
      </c>
      <c r="E39" s="13">
        <f>MAX(0,MIN(C39,$B$9-D39))</f>
        <v/>
      </c>
      <c r="F39" s="13">
        <f>MAX(0,C39-E39)</f>
        <v/>
      </c>
    </row>
    <row r="40">
      <c r="A40" s="11" t="n">
        <v>21</v>
      </c>
      <c r="B40" s="33" t="n">
        <v>45858</v>
      </c>
      <c r="C40" s="13">
        <f>F39</f>
        <v/>
      </c>
      <c r="D40" s="13">
        <f>MAX(0,C40*$B$8/12)</f>
        <v/>
      </c>
      <c r="E40" s="13">
        <f>MAX(0,MIN(C40,$B$9-D40))</f>
        <v/>
      </c>
      <c r="F40" s="13">
        <f>MAX(0,C40-E40)</f>
        <v/>
      </c>
    </row>
    <row r="41">
      <c r="A41" s="11" t="n">
        <v>22</v>
      </c>
      <c r="B41" s="33" t="n">
        <v>45889</v>
      </c>
      <c r="C41" s="13">
        <f>F40</f>
        <v/>
      </c>
      <c r="D41" s="13">
        <f>MAX(0,C41*$B$8/12)</f>
        <v/>
      </c>
      <c r="E41" s="13">
        <f>MAX(0,MIN(C41,$B$9-D41))</f>
        <v/>
      </c>
      <c r="F41" s="13">
        <f>MAX(0,C41-E41)</f>
        <v/>
      </c>
    </row>
    <row r="42">
      <c r="A42" s="11" t="n">
        <v>23</v>
      </c>
      <c r="B42" s="33" t="n">
        <v>45920</v>
      </c>
      <c r="C42" s="13">
        <f>F41</f>
        <v/>
      </c>
      <c r="D42" s="13">
        <f>MAX(0,C42*$B$8/12)</f>
        <v/>
      </c>
      <c r="E42" s="13">
        <f>MAX(0,MIN(C42,$B$9-D42))</f>
        <v/>
      </c>
      <c r="F42" s="13">
        <f>MAX(0,C42-E42)</f>
        <v/>
      </c>
    </row>
    <row r="43">
      <c r="A43" s="11" t="n">
        <v>24</v>
      </c>
      <c r="B43" s="33" t="n">
        <v>45950</v>
      </c>
      <c r="C43" s="13">
        <f>F42</f>
        <v/>
      </c>
      <c r="D43" s="13">
        <f>MAX(0,C43*$B$8/12)</f>
        <v/>
      </c>
      <c r="E43" s="13">
        <f>MAX(0,MIN(C43,$B$9-D43))</f>
        <v/>
      </c>
      <c r="F43" s="13">
        <f>MAX(0,C43-E43)</f>
        <v/>
      </c>
    </row>
    <row r="44">
      <c r="A44" s="11" t="n">
        <v>25</v>
      </c>
      <c r="B44" s="33" t="n">
        <v>45981</v>
      </c>
      <c r="C44" s="13">
        <f>F43</f>
        <v/>
      </c>
      <c r="D44" s="13">
        <f>MAX(0,C44*$B$8/12)</f>
        <v/>
      </c>
      <c r="E44" s="13">
        <f>MAX(0,MIN(C44,$B$9-D44))</f>
        <v/>
      </c>
      <c r="F44" s="13">
        <f>MAX(0,C44-E44)</f>
        <v/>
      </c>
    </row>
    <row r="45">
      <c r="A45" s="11" t="n">
        <v>26</v>
      </c>
      <c r="B45" s="33" t="n">
        <v>46011</v>
      </c>
      <c r="C45" s="13">
        <f>F44</f>
        <v/>
      </c>
      <c r="D45" s="13">
        <f>MAX(0,C45*$B$8/12)</f>
        <v/>
      </c>
      <c r="E45" s="13">
        <f>MAX(0,MIN(C45,$B$9-D45))</f>
        <v/>
      </c>
      <c r="F45" s="13">
        <f>MAX(0,C45-E45)</f>
        <v/>
      </c>
    </row>
    <row r="46">
      <c r="A46" s="11" t="n">
        <v>27</v>
      </c>
      <c r="B46" s="33" t="n">
        <v>46042</v>
      </c>
      <c r="C46" s="13">
        <f>F45</f>
        <v/>
      </c>
      <c r="D46" s="13">
        <f>MAX(0,C46*$B$8/12)</f>
        <v/>
      </c>
      <c r="E46" s="13">
        <f>MAX(0,MIN(C46,$B$9-D46))</f>
        <v/>
      </c>
      <c r="F46" s="13">
        <f>MAX(0,C46-E46)</f>
        <v/>
      </c>
    </row>
    <row r="47">
      <c r="A47" s="11" t="n">
        <v>28</v>
      </c>
      <c r="B47" s="33" t="n">
        <v>46073</v>
      </c>
      <c r="C47" s="13">
        <f>F46</f>
        <v/>
      </c>
      <c r="D47" s="13">
        <f>MAX(0,C47*$B$8/12)</f>
        <v/>
      </c>
      <c r="E47" s="13">
        <f>MAX(0,MIN(C47,$B$9-D47))</f>
        <v/>
      </c>
      <c r="F47" s="13">
        <f>MAX(0,C47-E47)</f>
        <v/>
      </c>
    </row>
    <row r="48">
      <c r="A48" s="11" t="n">
        <v>29</v>
      </c>
      <c r="B48" s="33" t="n">
        <v>46101</v>
      </c>
      <c r="C48" s="13">
        <f>F47</f>
        <v/>
      </c>
      <c r="D48" s="13">
        <f>MAX(0,C48*$B$8/12)</f>
        <v/>
      </c>
      <c r="E48" s="13">
        <f>MAX(0,MIN(C48,$B$9-D48))</f>
        <v/>
      </c>
      <c r="F48" s="13">
        <f>MAX(0,C48-E48)</f>
        <v/>
      </c>
    </row>
    <row r="49">
      <c r="A49" s="11" t="n">
        <v>30</v>
      </c>
      <c r="B49" s="33" t="n">
        <v>46132</v>
      </c>
      <c r="C49" s="13">
        <f>F48</f>
        <v/>
      </c>
      <c r="D49" s="13">
        <f>MAX(0,C49*$B$8/12)</f>
        <v/>
      </c>
      <c r="E49" s="13">
        <f>MAX(0,MIN(C49,$B$9-D49))</f>
        <v/>
      </c>
      <c r="F49" s="13">
        <f>MAX(0,C49-E49)</f>
        <v/>
      </c>
    </row>
    <row r="50">
      <c r="A50" s="11" t="n">
        <v>31</v>
      </c>
      <c r="B50" s="33" t="n">
        <v>46162</v>
      </c>
      <c r="C50" s="13">
        <f>F49</f>
        <v/>
      </c>
      <c r="D50" s="13">
        <f>MAX(0,C50*$B$8/12)</f>
        <v/>
      </c>
      <c r="E50" s="13">
        <f>MAX(0,MIN(C50,$B$9-D50))</f>
        <v/>
      </c>
      <c r="F50" s="13">
        <f>MAX(0,C50-E50)</f>
        <v/>
      </c>
    </row>
    <row r="51">
      <c r="A51" s="11" t="n">
        <v>32</v>
      </c>
      <c r="B51" s="33" t="n">
        <v>46193</v>
      </c>
      <c r="C51" s="13">
        <f>F50</f>
        <v/>
      </c>
      <c r="D51" s="13">
        <f>MAX(0,C51*$B$8/12)</f>
        <v/>
      </c>
      <c r="E51" s="13">
        <f>MAX(0,MIN(C51,$B$9-D51))</f>
        <v/>
      </c>
      <c r="F51" s="13">
        <f>MAX(0,C51-E51)</f>
        <v/>
      </c>
    </row>
    <row r="52">
      <c r="A52" s="11" t="n">
        <v>33</v>
      </c>
      <c r="B52" s="33" t="n">
        <v>46223</v>
      </c>
      <c r="C52" s="13">
        <f>F51</f>
        <v/>
      </c>
      <c r="D52" s="13">
        <f>MAX(0,C52*$B$8/12)</f>
        <v/>
      </c>
      <c r="E52" s="13">
        <f>MAX(0,MIN(C52,$B$9-D52))</f>
        <v/>
      </c>
      <c r="F52" s="13">
        <f>MAX(0,C52-E52)</f>
        <v/>
      </c>
    </row>
    <row r="53">
      <c r="A53" s="11" t="n">
        <v>34</v>
      </c>
      <c r="B53" s="33" t="n">
        <v>46254</v>
      </c>
      <c r="C53" s="13">
        <f>F52</f>
        <v/>
      </c>
      <c r="D53" s="13">
        <f>MAX(0,C53*$B$8/12)</f>
        <v/>
      </c>
      <c r="E53" s="13">
        <f>MAX(0,MIN(C53,$B$9-D53))</f>
        <v/>
      </c>
      <c r="F53" s="13">
        <f>MAX(0,C53-E53)</f>
        <v/>
      </c>
    </row>
    <row r="54">
      <c r="A54" s="11" t="n">
        <v>35</v>
      </c>
      <c r="B54" s="33" t="n">
        <v>46285</v>
      </c>
      <c r="C54" s="13">
        <f>F53</f>
        <v/>
      </c>
      <c r="D54" s="13">
        <f>MAX(0,C54*$B$8/12)</f>
        <v/>
      </c>
      <c r="E54" s="13">
        <f>MAX(0,MIN(C54,$B$9-D54))</f>
        <v/>
      </c>
      <c r="F54" s="13">
        <f>MAX(0,C54-E54)</f>
        <v/>
      </c>
    </row>
    <row r="55">
      <c r="A55" s="11" t="n">
        <v>36</v>
      </c>
      <c r="B55" s="33" t="n">
        <v>46315</v>
      </c>
      <c r="C55" s="13">
        <f>F54</f>
        <v/>
      </c>
      <c r="D55" s="13">
        <f>MAX(0,C55*$B$8/12)</f>
        <v/>
      </c>
      <c r="E55" s="13">
        <f>MAX(0,MIN(C55,$B$9-D55))</f>
        <v/>
      </c>
      <c r="F55" s="13">
        <f>MAX(0,C55-E55)</f>
        <v/>
      </c>
    </row>
    <row r="56">
      <c r="A56" s="11" t="n">
        <v>37</v>
      </c>
      <c r="B56" s="33" t="n">
        <v>46346</v>
      </c>
      <c r="C56" s="13">
        <f>F55</f>
        <v/>
      </c>
      <c r="D56" s="13">
        <f>MAX(0,C56*$B$8/12)</f>
        <v/>
      </c>
      <c r="E56" s="13">
        <f>MAX(0,MIN(C56,$B$9-D56))</f>
        <v/>
      </c>
      <c r="F56" s="13">
        <f>MAX(0,C56-E56)</f>
        <v/>
      </c>
    </row>
    <row r="57">
      <c r="A57" s="11" t="n">
        <v>38</v>
      </c>
      <c r="B57" s="33" t="n">
        <v>46376</v>
      </c>
      <c r="C57" s="13">
        <f>F56</f>
        <v/>
      </c>
      <c r="D57" s="13">
        <f>MAX(0,C57*$B$8/12)</f>
        <v/>
      </c>
      <c r="E57" s="13">
        <f>MAX(0,MIN(C57,$B$9-D57))</f>
        <v/>
      </c>
      <c r="F57" s="13">
        <f>MAX(0,C57-E57)</f>
        <v/>
      </c>
    </row>
    <row r="58">
      <c r="A58" s="11" t="n">
        <v>39</v>
      </c>
      <c r="B58" s="33" t="n">
        <v>46407</v>
      </c>
      <c r="C58" s="13">
        <f>F57</f>
        <v/>
      </c>
      <c r="D58" s="13">
        <f>MAX(0,C58*$B$8/12)</f>
        <v/>
      </c>
      <c r="E58" s="13">
        <f>MAX(0,MIN(C58,$B$9-D58))</f>
        <v/>
      </c>
      <c r="F58" s="13">
        <f>MAX(0,C58-E58)</f>
        <v/>
      </c>
    </row>
    <row r="59">
      <c r="A59" s="11" t="n">
        <v>40</v>
      </c>
      <c r="B59" s="33" t="n">
        <v>46438</v>
      </c>
      <c r="C59" s="13">
        <f>F58</f>
        <v/>
      </c>
      <c r="D59" s="13">
        <f>MAX(0,C59*$B$8/12)</f>
        <v/>
      </c>
      <c r="E59" s="13">
        <f>MAX(0,MIN(C59,$B$9-D59))</f>
        <v/>
      </c>
      <c r="F59" s="13">
        <f>MAX(0,C59-E59)</f>
        <v/>
      </c>
    </row>
    <row r="60">
      <c r="A60" s="11" t="n">
        <v>41</v>
      </c>
      <c r="B60" s="33" t="n">
        <v>46466</v>
      </c>
      <c r="C60" s="13">
        <f>F59</f>
        <v/>
      </c>
      <c r="D60" s="13">
        <f>MAX(0,C60*$B$8/12)</f>
        <v/>
      </c>
      <c r="E60" s="13">
        <f>MAX(0,MIN(C60,$B$9-D60))</f>
        <v/>
      </c>
      <c r="F60" s="13">
        <f>MAX(0,C60-E60)</f>
        <v/>
      </c>
    </row>
    <row r="61">
      <c r="A61" s="11" t="n">
        <v>42</v>
      </c>
      <c r="B61" s="33" t="n">
        <v>46497</v>
      </c>
      <c r="C61" s="13">
        <f>F60</f>
        <v/>
      </c>
      <c r="D61" s="13">
        <f>MAX(0,C61*$B$8/12)</f>
        <v/>
      </c>
      <c r="E61" s="13">
        <f>MAX(0,MIN(C61,$B$9-D61))</f>
        <v/>
      </c>
      <c r="F61" s="13">
        <f>MAX(0,C61-E61)</f>
        <v/>
      </c>
    </row>
    <row r="62">
      <c r="A62" s="11" t="n">
        <v>43</v>
      </c>
      <c r="B62" s="33" t="n">
        <v>46527</v>
      </c>
      <c r="C62" s="13">
        <f>F61</f>
        <v/>
      </c>
      <c r="D62" s="13">
        <f>MAX(0,C62*$B$8/12)</f>
        <v/>
      </c>
      <c r="E62" s="13">
        <f>MAX(0,MIN(C62,$B$9-D62))</f>
        <v/>
      </c>
      <c r="F62" s="13">
        <f>MAX(0,C62-E62)</f>
        <v/>
      </c>
    </row>
    <row r="63">
      <c r="A63" s="11" t="n">
        <v>44</v>
      </c>
      <c r="B63" s="33" t="n">
        <v>46558</v>
      </c>
      <c r="C63" s="13">
        <f>F62</f>
        <v/>
      </c>
      <c r="D63" s="13">
        <f>MAX(0,C63*$B$8/12)</f>
        <v/>
      </c>
      <c r="E63" s="13">
        <f>MAX(0,MIN(C63,$B$9-D63))</f>
        <v/>
      </c>
      <c r="F63" s="13">
        <f>MAX(0,C63-E63)</f>
        <v/>
      </c>
    </row>
    <row r="64">
      <c r="A64" s="11" t="n">
        <v>45</v>
      </c>
      <c r="B64" s="33" t="n">
        <v>46588</v>
      </c>
      <c r="C64" s="13">
        <f>F63</f>
        <v/>
      </c>
      <c r="D64" s="13">
        <f>MAX(0,C64*$B$8/12)</f>
        <v/>
      </c>
      <c r="E64" s="13">
        <f>MAX(0,MIN(C64,$B$9-D64))</f>
        <v/>
      </c>
      <c r="F64" s="13">
        <f>MAX(0,C64-E64)</f>
        <v/>
      </c>
    </row>
    <row r="65">
      <c r="A65" s="11" t="n">
        <v>46</v>
      </c>
      <c r="B65" s="33" t="n">
        <v>46619</v>
      </c>
      <c r="C65" s="13">
        <f>F64</f>
        <v/>
      </c>
      <c r="D65" s="13">
        <f>MAX(0,C65*$B$8/12)</f>
        <v/>
      </c>
      <c r="E65" s="13">
        <f>MAX(0,MIN(C65,$B$9-D65))</f>
        <v/>
      </c>
      <c r="F65" s="13">
        <f>MAX(0,C65-E65)</f>
        <v/>
      </c>
    </row>
    <row r="66">
      <c r="A66" s="11" t="n">
        <v>47</v>
      </c>
      <c r="B66" s="33" t="n">
        <v>46650</v>
      </c>
      <c r="C66" s="13">
        <f>F65</f>
        <v/>
      </c>
      <c r="D66" s="13">
        <f>MAX(0,C66*$B$8/12)</f>
        <v/>
      </c>
      <c r="E66" s="13">
        <f>MAX(0,MIN(C66,$B$9-D66))</f>
        <v/>
      </c>
      <c r="F66" s="13">
        <f>MAX(0,C66-E66)</f>
        <v/>
      </c>
    </row>
    <row r="67">
      <c r="A67" s="11" t="n">
        <v>48</v>
      </c>
      <c r="B67" s="33" t="n">
        <v>46680</v>
      </c>
      <c r="C67" s="13">
        <f>F66</f>
        <v/>
      </c>
      <c r="D67" s="13">
        <f>MAX(0,C67*$B$8/12)</f>
        <v/>
      </c>
      <c r="E67" s="13">
        <f>MAX(0,MIN(C67,$B$9-D67))</f>
        <v/>
      </c>
      <c r="F67" s="13">
        <f>MAX(0,C67-E67)</f>
        <v/>
      </c>
    </row>
    <row r="68">
      <c r="A68" s="11" t="n">
        <v>49</v>
      </c>
      <c r="B68" s="33" t="n">
        <v>46711</v>
      </c>
      <c r="C68" s="13">
        <f>F67</f>
        <v/>
      </c>
      <c r="D68" s="13">
        <f>MAX(0,C68*$B$8/12)</f>
        <v/>
      </c>
      <c r="E68" s="13">
        <f>MAX(0,MIN(C68,$B$9-D68))</f>
        <v/>
      </c>
      <c r="F68" s="13">
        <f>MAX(0,C68-E68)</f>
        <v/>
      </c>
    </row>
    <row r="69">
      <c r="A69" s="11" t="n">
        <v>50</v>
      </c>
      <c r="B69" s="33" t="n">
        <v>46741</v>
      </c>
      <c r="C69" s="13">
        <f>F68</f>
        <v/>
      </c>
      <c r="D69" s="13">
        <f>MAX(0,C69*$B$8/12)</f>
        <v/>
      </c>
      <c r="E69" s="13">
        <f>MAX(0,MIN(C69,$B$9-D69))</f>
        <v/>
      </c>
      <c r="F69" s="13">
        <f>MAX(0,C69-E69)</f>
        <v/>
      </c>
    </row>
    <row r="70">
      <c r="A70" s="11" t="n">
        <v>51</v>
      </c>
      <c r="B70" s="33" t="n">
        <v>46772</v>
      </c>
      <c r="C70" s="13">
        <f>F69</f>
        <v/>
      </c>
      <c r="D70" s="13">
        <f>MAX(0,C70*$B$8/12)</f>
        <v/>
      </c>
      <c r="E70" s="13">
        <f>MAX(0,MIN(C70,$B$9-D70))</f>
        <v/>
      </c>
      <c r="F70" s="13">
        <f>MAX(0,C70-E70)</f>
        <v/>
      </c>
    </row>
    <row r="71">
      <c r="A71" s="11" t="n">
        <v>52</v>
      </c>
      <c r="B71" s="33" t="n">
        <v>46803</v>
      </c>
      <c r="C71" s="13">
        <f>F70</f>
        <v/>
      </c>
      <c r="D71" s="13">
        <f>MAX(0,C71*$B$8/12)</f>
        <v/>
      </c>
      <c r="E71" s="13">
        <f>MAX(0,MIN(C71,$B$9-D71))</f>
        <v/>
      </c>
      <c r="F71" s="13">
        <f>MAX(0,C71-E71)</f>
        <v/>
      </c>
    </row>
    <row r="72">
      <c r="A72" s="11" t="n">
        <v>53</v>
      </c>
      <c r="B72" s="33" t="n">
        <v>46832</v>
      </c>
      <c r="C72" s="13">
        <f>F71</f>
        <v/>
      </c>
      <c r="D72" s="13">
        <f>MAX(0,C72*$B$8/12)</f>
        <v/>
      </c>
      <c r="E72" s="13">
        <f>MAX(0,MIN(C72,$B$9-D72))</f>
        <v/>
      </c>
      <c r="F72" s="13">
        <f>MAX(0,C72-E72)</f>
        <v/>
      </c>
    </row>
    <row r="73">
      <c r="A73" s="11" t="n">
        <v>54</v>
      </c>
      <c r="B73" s="33" t="n">
        <v>46863</v>
      </c>
      <c r="C73" s="13">
        <f>F72</f>
        <v/>
      </c>
      <c r="D73" s="13">
        <f>MAX(0,C73*$B$8/12)</f>
        <v/>
      </c>
      <c r="E73" s="13">
        <f>MAX(0,MIN(C73,$B$9-D73))</f>
        <v/>
      </c>
      <c r="F73" s="13">
        <f>MAX(0,C73-E73)</f>
        <v/>
      </c>
    </row>
    <row r="74">
      <c r="A74" s="11" t="n">
        <v>55</v>
      </c>
      <c r="B74" s="33" t="n">
        <v>46893</v>
      </c>
      <c r="C74" s="13">
        <f>F73</f>
        <v/>
      </c>
      <c r="D74" s="13">
        <f>MAX(0,C74*$B$8/12)</f>
        <v/>
      </c>
      <c r="E74" s="13">
        <f>MAX(0,MIN(C74,$B$9-D74))</f>
        <v/>
      </c>
      <c r="F74" s="13">
        <f>MAX(0,C74-E74)</f>
        <v/>
      </c>
    </row>
    <row r="75">
      <c r="A75" s="11" t="n">
        <v>56</v>
      </c>
      <c r="B75" s="33" t="n">
        <v>46924</v>
      </c>
      <c r="C75" s="13">
        <f>F74</f>
        <v/>
      </c>
      <c r="D75" s="13">
        <f>MAX(0,C75*$B$8/12)</f>
        <v/>
      </c>
      <c r="E75" s="13">
        <f>MAX(0,MIN(C75,$B$9-D75))</f>
        <v/>
      </c>
      <c r="F75" s="13">
        <f>MAX(0,C75-E75)</f>
        <v/>
      </c>
    </row>
    <row r="76">
      <c r="A76" s="11" t="n">
        <v>57</v>
      </c>
      <c r="B76" s="33" t="n">
        <v>46954</v>
      </c>
      <c r="C76" s="13">
        <f>F75</f>
        <v/>
      </c>
      <c r="D76" s="13">
        <f>MAX(0,C76*$B$8/12)</f>
        <v/>
      </c>
      <c r="E76" s="13">
        <f>MAX(0,MIN(C76,$B$9-D76))</f>
        <v/>
      </c>
      <c r="F76" s="13">
        <f>MAX(0,C76-E76)</f>
        <v/>
      </c>
    </row>
    <row r="77">
      <c r="A77" s="11" t="n">
        <v>58</v>
      </c>
      <c r="B77" s="33" t="n">
        <v>46985</v>
      </c>
      <c r="C77" s="13">
        <f>F76</f>
        <v/>
      </c>
      <c r="D77" s="13">
        <f>MAX(0,C77*$B$8/12)</f>
        <v/>
      </c>
      <c r="E77" s="13">
        <f>MAX(0,MIN(C77,$B$9-D77))</f>
        <v/>
      </c>
      <c r="F77" s="13">
        <f>MAX(0,C77-E77)</f>
        <v/>
      </c>
    </row>
    <row r="78">
      <c r="A78" s="11" t="n">
        <v>59</v>
      </c>
      <c r="B78" s="33" t="n">
        <v>47016</v>
      </c>
      <c r="C78" s="13">
        <f>F77</f>
        <v/>
      </c>
      <c r="D78" s="13">
        <f>MAX(0,C78*$B$8/12)</f>
        <v/>
      </c>
      <c r="E78" s="13">
        <f>MAX(0,MIN(C78,$B$9-D78))</f>
        <v/>
      </c>
      <c r="F78" s="13">
        <f>MAX(0,C78-E78)</f>
        <v/>
      </c>
    </row>
    <row r="79">
      <c r="A79" s="11" t="n">
        <v>60</v>
      </c>
      <c r="B79" s="33" t="n">
        <v>47046</v>
      </c>
      <c r="C79" s="13">
        <f>F78</f>
        <v/>
      </c>
      <c r="D79" s="13">
        <f>MAX(0,C79*$B$8/12)</f>
        <v/>
      </c>
      <c r="E79" s="13">
        <f>MAX(0,MIN(C79,$B$9-D79))</f>
        <v/>
      </c>
      <c r="F79" s="13">
        <f>MAX(0,C79-E79)</f>
        <v/>
      </c>
    </row>
    <row r="80">
      <c r="A80" s="11" t="n">
        <v>61</v>
      </c>
      <c r="B80" s="33" t="n">
        <v>47077</v>
      </c>
      <c r="C80" s="13">
        <f>F79</f>
        <v/>
      </c>
      <c r="D80" s="13">
        <f>MAX(0,C80*$B$8/12)</f>
        <v/>
      </c>
      <c r="E80" s="13">
        <f>MAX(0,MIN(C80,$B$9-D80))</f>
        <v/>
      </c>
      <c r="F80" s="13">
        <f>MAX(0,C80-E80)</f>
        <v/>
      </c>
    </row>
    <row r="81">
      <c r="A81" s="11" t="n">
        <v>62</v>
      </c>
      <c r="B81" s="33" t="n">
        <v>47107</v>
      </c>
      <c r="C81" s="13">
        <f>F80</f>
        <v/>
      </c>
      <c r="D81" s="13">
        <f>MAX(0,C81*$B$8/12)</f>
        <v/>
      </c>
      <c r="E81" s="13">
        <f>MAX(0,MIN(C81,$B$9-D81))</f>
        <v/>
      </c>
      <c r="F81" s="13">
        <f>MAX(0,C81-E81)</f>
        <v/>
      </c>
    </row>
    <row r="82">
      <c r="A82" s="11" t="n">
        <v>63</v>
      </c>
      <c r="B82" s="33" t="n">
        <v>47138</v>
      </c>
      <c r="C82" s="13">
        <f>F81</f>
        <v/>
      </c>
      <c r="D82" s="13">
        <f>MAX(0,C82*$B$8/12)</f>
        <v/>
      </c>
      <c r="E82" s="13">
        <f>MAX(0,MIN(C82,$B$9-D82))</f>
        <v/>
      </c>
      <c r="F82" s="13">
        <f>MAX(0,C82-E82)</f>
        <v/>
      </c>
    </row>
    <row r="83">
      <c r="A83" s="11" t="n">
        <v>64</v>
      </c>
      <c r="B83" s="33" t="n">
        <v>47169</v>
      </c>
      <c r="C83" s="13">
        <f>F82</f>
        <v/>
      </c>
      <c r="D83" s="13">
        <f>MAX(0,C83*$B$8/12)</f>
        <v/>
      </c>
      <c r="E83" s="13">
        <f>MAX(0,MIN(C83,$B$9-D83))</f>
        <v/>
      </c>
      <c r="F83" s="13">
        <f>MAX(0,C83-E83)</f>
        <v/>
      </c>
    </row>
    <row r="84">
      <c r="A84" s="11" t="n">
        <v>65</v>
      </c>
      <c r="B84" s="33" t="n">
        <v>47197</v>
      </c>
      <c r="C84" s="13">
        <f>F83</f>
        <v/>
      </c>
      <c r="D84" s="13">
        <f>MAX(0,C84*$B$8/12)</f>
        <v/>
      </c>
      <c r="E84" s="13">
        <f>MAX(0,MIN(C84,$B$9-D84))</f>
        <v/>
      </c>
      <c r="F84" s="13">
        <f>MAX(0,C84-E84)</f>
        <v/>
      </c>
    </row>
    <row r="85">
      <c r="A85" s="11" t="n">
        <v>66</v>
      </c>
      <c r="B85" s="33" t="n">
        <v>47228</v>
      </c>
      <c r="C85" s="13">
        <f>F84</f>
        <v/>
      </c>
      <c r="D85" s="13">
        <f>MAX(0,C85*$B$8/12)</f>
        <v/>
      </c>
      <c r="E85" s="13">
        <f>MAX(0,MIN(C85,$B$9-D85))</f>
        <v/>
      </c>
      <c r="F85" s="13">
        <f>MAX(0,C85-E85)</f>
        <v/>
      </c>
    </row>
    <row r="87">
      <c r="A87" s="55" t="inlineStr">
        <is>
          <t>ANNUAL SUMMARY</t>
        </is>
      </c>
      <c r="B87" s="56" t="n"/>
      <c r="C87" s="56" t="n"/>
      <c r="D87" s="56" t="n"/>
      <c r="E87" s="56" t="n"/>
      <c r="F87" s="56" t="n"/>
    </row>
    <row r="88">
      <c r="A88" s="57" t="inlineStr">
        <is>
          <t>Year</t>
        </is>
      </c>
      <c r="B88" s="57" t="inlineStr">
        <is>
          <t>Opening</t>
        </is>
      </c>
      <c r="C88" s="57" t="inlineStr">
        <is>
          <t>Interest</t>
        </is>
      </c>
      <c r="D88" s="57" t="inlineStr">
        <is>
          <t>Principal</t>
        </is>
      </c>
      <c r="E88" s="57" t="inlineStr">
        <is>
          <t>Closing</t>
        </is>
      </c>
    </row>
    <row r="89">
      <c r="A89" s="58" t="n">
        <v>2023</v>
      </c>
      <c r="B89" s="59">
        <f>C20</f>
        <v/>
      </c>
      <c r="C89" s="59">
        <f>SUM(D20:D21)</f>
        <v/>
      </c>
      <c r="D89" s="59">
        <f>SUM(E20:E21)</f>
        <v/>
      </c>
      <c r="E89" s="59">
        <f>F21</f>
        <v/>
      </c>
    </row>
    <row r="90">
      <c r="A90" s="58" t="n">
        <v>2024</v>
      </c>
      <c r="B90" s="59">
        <f>C22</f>
        <v/>
      </c>
      <c r="C90" s="59">
        <f>SUM(D22:D33)</f>
        <v/>
      </c>
      <c r="D90" s="59">
        <f>SUM(E22:E33)</f>
        <v/>
      </c>
      <c r="E90" s="59">
        <f>F33</f>
        <v/>
      </c>
    </row>
    <row r="91">
      <c r="A91" s="58" t="n">
        <v>2025</v>
      </c>
      <c r="B91" s="59">
        <f>C34</f>
        <v/>
      </c>
      <c r="C91" s="59">
        <f>SUM(D34:D45)</f>
        <v/>
      </c>
      <c r="D91" s="59">
        <f>SUM(E34:E45)</f>
        <v/>
      </c>
      <c r="E91" s="59">
        <f>F45</f>
        <v/>
      </c>
    </row>
    <row r="92">
      <c r="A92" s="58" t="n">
        <v>2026</v>
      </c>
      <c r="B92" s="59">
        <f>C46</f>
        <v/>
      </c>
      <c r="C92" s="59">
        <f>SUM(D46:D57)</f>
        <v/>
      </c>
      <c r="D92" s="59">
        <f>SUM(E46:E57)</f>
        <v/>
      </c>
      <c r="E92" s="59">
        <f>F57</f>
        <v/>
      </c>
    </row>
    <row r="93">
      <c r="A93" s="58" t="n">
        <v>2027</v>
      </c>
      <c r="B93" s="59">
        <f>C58</f>
        <v/>
      </c>
      <c r="C93" s="59">
        <f>SUM(D58:D69)</f>
        <v/>
      </c>
      <c r="D93" s="59">
        <f>SUM(E58:E69)</f>
        <v/>
      </c>
      <c r="E93" s="59">
        <f>F69</f>
        <v/>
      </c>
    </row>
    <row r="94">
      <c r="A94" s="58" t="n">
        <v>2028</v>
      </c>
      <c r="B94" s="59">
        <f>C70</f>
        <v/>
      </c>
      <c r="C94" s="59">
        <f>SUM(D70:D81)</f>
        <v/>
      </c>
      <c r="D94" s="59">
        <f>SUM(E70:E81)</f>
        <v/>
      </c>
      <c r="E94" s="59">
        <f>F81</f>
        <v/>
      </c>
    </row>
    <row r="95">
      <c r="A95" s="58" t="n">
        <v>2029</v>
      </c>
      <c r="B95" s="59">
        <f>C82</f>
        <v/>
      </c>
      <c r="C95" s="59">
        <f>SUM(D82:D85)</f>
        <v/>
      </c>
      <c r="D95" s="59">
        <f>SUM(E82:E85)</f>
        <v/>
      </c>
      <c r="E95" s="59">
        <f>F85</f>
        <v/>
      </c>
    </row>
    <row r="97">
      <c r="A97" s="1" t="inlineStr">
        <is>
          <t>Current Balance:</t>
        </is>
      </c>
      <c r="B97" s="60">
        <f>$B$7</f>
        <v/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68.xml><?xml version="1.0" encoding="utf-8"?>
<worksheet xmlns="http://schemas.openxmlformats.org/spreadsheetml/2006/main">
  <sheetPr>
    <tabColor rgb="00808080"/>
    <outlinePr summaryBelow="1" summaryRight="1"/>
    <pageSetUpPr/>
  </sheetPr>
  <dimension ref="A1:F116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6" customWidth="1" min="3" max="3"/>
    <col width="14" customWidth="1" min="4" max="4"/>
    <col width="14" customWidth="1" min="5" max="5"/>
    <col width="16" customWidth="1" min="6" max="6"/>
    <col width="14" customWidth="1" min="7" max="7"/>
  </cols>
  <sheetData>
    <row r="1">
      <c r="A1" s="51" t="inlineStr">
        <is>
          <t>LOAN DETAIL SHEET</t>
        </is>
      </c>
      <c r="B1" s="3" t="n"/>
      <c r="C1" s="3" t="n"/>
      <c r="D1" s="3" t="n"/>
      <c r="E1" s="3" t="n"/>
      <c r="F1" s="3" t="n"/>
    </row>
    <row r="2">
      <c r="A2" t="inlineStr">
        <is>
          <t>Lender:</t>
        </is>
      </c>
      <c r="B2" s="4" t="inlineStr">
        <is>
          <t>Atlantic Union Equipment Finance</t>
        </is>
      </c>
    </row>
    <row r="3">
      <c r="A3" t="inlineStr">
        <is>
          <t>Loan ID:</t>
        </is>
      </c>
      <c r="B3" s="4" t="inlineStr">
        <is>
          <t>05-2987-002-000-00</t>
        </is>
      </c>
    </row>
    <row r="4">
      <c r="A4" t="inlineStr">
        <is>
          <t>Description:</t>
        </is>
      </c>
      <c r="B4" s="4" t="inlineStr">
        <is>
          <t>25 Trailers</t>
        </is>
      </c>
    </row>
    <row r="5">
      <c r="A5" t="inlineStr">
        <is>
          <t>Collateral:</t>
        </is>
      </c>
      <c r="B5" s="4" t="inlineStr">
        <is>
          <t>Equipment - Trailers</t>
        </is>
      </c>
    </row>
    <row r="6">
      <c r="A6" t="inlineStr">
        <is>
          <t>Original Balance:</t>
        </is>
      </c>
      <c r="B6" s="5" t="n">
        <v>1302999</v>
      </c>
    </row>
    <row r="7">
      <c r="A7" t="inlineStr">
        <is>
          <t>Balance 12/31/25:</t>
        </is>
      </c>
      <c r="B7" s="5" t="n">
        <v>1072016</v>
      </c>
    </row>
    <row r="8">
      <c r="A8" t="inlineStr">
        <is>
          <t>Annual Rate:</t>
        </is>
      </c>
      <c r="B8" s="6" t="n">
        <v>0.0659</v>
      </c>
    </row>
    <row r="9">
      <c r="A9" t="inlineStr">
        <is>
          <t>Monthly Payment:</t>
        </is>
      </c>
      <c r="B9" s="5" t="n">
        <v>19406</v>
      </c>
    </row>
    <row r="10">
      <c r="A10" t="inlineStr">
        <is>
          <t>Maturity Date:</t>
        </is>
      </c>
      <c r="B10" s="52" t="n">
        <v>48016</v>
      </c>
    </row>
    <row r="12">
      <c r="A12" s="53" t="inlineStr">
        <is>
          <t>AI ANALYSIS</t>
        </is>
      </c>
      <c r="B12" s="9" t="n"/>
      <c r="C12" s="9" t="n"/>
      <c r="D12" s="9" t="n"/>
      <c r="E12" s="9" t="n"/>
      <c r="F12" s="9" t="n"/>
    </row>
    <row r="13">
      <c r="A13" s="9" t="inlineStr">
        <is>
          <t>Loan Type:</t>
        </is>
      </c>
      <c r="B13" s="9" t="inlineStr">
        <is>
          <t>AMORTIZING</t>
        </is>
      </c>
    </row>
    <row r="14">
      <c r="A14" s="9" t="inlineStr">
        <is>
          <t>Classification:</t>
        </is>
      </c>
      <c r="B14" s="9" t="inlineStr">
        <is>
          <t>Equipment Finance - Standard Amortization</t>
        </is>
      </c>
    </row>
    <row r="15">
      <c r="A15" s="9" t="inlineStr">
        <is>
          <t>Term (months):</t>
        </is>
      </c>
      <c r="B15" s="9" t="n">
        <v>84</v>
      </c>
    </row>
    <row r="16">
      <c r="A16" s="9" t="inlineStr">
        <is>
          <t>Months Remaining:</t>
        </is>
      </c>
      <c r="B16" s="9" t="n">
        <v>66</v>
      </c>
    </row>
    <row r="17">
      <c r="A17" s="9" t="inlineStr">
        <is>
          <t>Notes:</t>
        </is>
      </c>
      <c r="B17" s="9" t="inlineStr">
        <is>
          <t>Standard amortizing equipment loan secured by equipment - trailers.</t>
        </is>
      </c>
    </row>
    <row r="19">
      <c r="A19" s="54" t="inlineStr">
        <is>
          <t>Month #</t>
        </is>
      </c>
      <c r="B19" s="54" t="inlineStr">
        <is>
          <t>Date</t>
        </is>
      </c>
      <c r="C19" s="54" t="inlineStr">
        <is>
          <t>Opening</t>
        </is>
      </c>
      <c r="D19" s="54" t="inlineStr">
        <is>
          <t>Interest</t>
        </is>
      </c>
      <c r="E19" s="54" t="inlineStr">
        <is>
          <t>Principal</t>
        </is>
      </c>
      <c r="F19" s="54" t="inlineStr">
        <is>
          <t>Closing</t>
        </is>
      </c>
    </row>
    <row r="20">
      <c r="A20" s="11" t="n">
        <v>1</v>
      </c>
      <c r="B20" s="33" t="n">
        <v>45490</v>
      </c>
      <c r="C20" s="13">
        <f>$B$6</f>
        <v/>
      </c>
      <c r="D20" s="13">
        <f>MAX(0,C20*$B$8/12)</f>
        <v/>
      </c>
      <c r="E20" s="13">
        <f>MAX(0,MIN(C20,$B$9-D20))</f>
        <v/>
      </c>
      <c r="F20" s="13">
        <f>MAX(0,C20-E20)</f>
        <v/>
      </c>
    </row>
    <row r="21">
      <c r="A21" s="11" t="n">
        <v>2</v>
      </c>
      <c r="B21" s="33" t="n">
        <v>45521</v>
      </c>
      <c r="C21" s="13">
        <f>F20</f>
        <v/>
      </c>
      <c r="D21" s="13">
        <f>MAX(0,C21*$B$8/12)</f>
        <v/>
      </c>
      <c r="E21" s="13">
        <f>MAX(0,MIN(C21,$B$9-D21))</f>
        <v/>
      </c>
      <c r="F21" s="13">
        <f>MAX(0,C21-E21)</f>
        <v/>
      </c>
    </row>
    <row r="22">
      <c r="A22" s="11" t="n">
        <v>3</v>
      </c>
      <c r="B22" s="33" t="n">
        <v>45552</v>
      </c>
      <c r="C22" s="13">
        <f>F21</f>
        <v/>
      </c>
      <c r="D22" s="13">
        <f>MAX(0,C22*$B$8/12)</f>
        <v/>
      </c>
      <c r="E22" s="13">
        <f>MAX(0,MIN(C22,$B$9-D22))</f>
        <v/>
      </c>
      <c r="F22" s="13">
        <f>MAX(0,C22-E22)</f>
        <v/>
      </c>
    </row>
    <row r="23">
      <c r="A23" s="11" t="n">
        <v>4</v>
      </c>
      <c r="B23" s="33" t="n">
        <v>45582</v>
      </c>
      <c r="C23" s="13">
        <f>F22</f>
        <v/>
      </c>
      <c r="D23" s="13">
        <f>MAX(0,C23*$B$8/12)</f>
        <v/>
      </c>
      <c r="E23" s="13">
        <f>MAX(0,MIN(C23,$B$9-D23))</f>
        <v/>
      </c>
      <c r="F23" s="13">
        <f>MAX(0,C23-E23)</f>
        <v/>
      </c>
    </row>
    <row r="24">
      <c r="A24" s="11" t="n">
        <v>5</v>
      </c>
      <c r="B24" s="33" t="n">
        <v>45613</v>
      </c>
      <c r="C24" s="13">
        <f>F23</f>
        <v/>
      </c>
      <c r="D24" s="13">
        <f>MAX(0,C24*$B$8/12)</f>
        <v/>
      </c>
      <c r="E24" s="13">
        <f>MAX(0,MIN(C24,$B$9-D24))</f>
        <v/>
      </c>
      <c r="F24" s="13">
        <f>MAX(0,C24-E24)</f>
        <v/>
      </c>
    </row>
    <row r="25">
      <c r="A25" s="11" t="n">
        <v>6</v>
      </c>
      <c r="B25" s="33" t="n">
        <v>45643</v>
      </c>
      <c r="C25" s="13">
        <f>F24</f>
        <v/>
      </c>
      <c r="D25" s="13">
        <f>MAX(0,C25*$B$8/12)</f>
        <v/>
      </c>
      <c r="E25" s="13">
        <f>MAX(0,MIN(C25,$B$9-D25))</f>
        <v/>
      </c>
      <c r="F25" s="13">
        <f>MAX(0,C25-E25)</f>
        <v/>
      </c>
    </row>
    <row r="26">
      <c r="A26" s="11" t="n">
        <v>7</v>
      </c>
      <c r="B26" s="33" t="n">
        <v>45674</v>
      </c>
      <c r="C26" s="13">
        <f>F25</f>
        <v/>
      </c>
      <c r="D26" s="13">
        <f>MAX(0,C26*$B$8/12)</f>
        <v/>
      </c>
      <c r="E26" s="13">
        <f>MAX(0,MIN(C26,$B$9-D26))</f>
        <v/>
      </c>
      <c r="F26" s="13">
        <f>MAX(0,C26-E26)</f>
        <v/>
      </c>
    </row>
    <row r="27">
      <c r="A27" s="11" t="n">
        <v>8</v>
      </c>
      <c r="B27" s="33" t="n">
        <v>45705</v>
      </c>
      <c r="C27" s="13">
        <f>F26</f>
        <v/>
      </c>
      <c r="D27" s="13">
        <f>MAX(0,C27*$B$8/12)</f>
        <v/>
      </c>
      <c r="E27" s="13">
        <f>MAX(0,MIN(C27,$B$9-D27))</f>
        <v/>
      </c>
      <c r="F27" s="13">
        <f>MAX(0,C27-E27)</f>
        <v/>
      </c>
    </row>
    <row r="28">
      <c r="A28" s="11" t="n">
        <v>9</v>
      </c>
      <c r="B28" s="33" t="n">
        <v>45733</v>
      </c>
      <c r="C28" s="13">
        <f>F27</f>
        <v/>
      </c>
      <c r="D28" s="13">
        <f>MAX(0,C28*$B$8/12)</f>
        <v/>
      </c>
      <c r="E28" s="13">
        <f>MAX(0,MIN(C28,$B$9-D28))</f>
        <v/>
      </c>
      <c r="F28" s="13">
        <f>MAX(0,C28-E28)</f>
        <v/>
      </c>
    </row>
    <row r="29">
      <c r="A29" s="11" t="n">
        <v>10</v>
      </c>
      <c r="B29" s="33" t="n">
        <v>45764</v>
      </c>
      <c r="C29" s="13">
        <f>F28</f>
        <v/>
      </c>
      <c r="D29" s="13">
        <f>MAX(0,C29*$B$8/12)</f>
        <v/>
      </c>
      <c r="E29" s="13">
        <f>MAX(0,MIN(C29,$B$9-D29))</f>
        <v/>
      </c>
      <c r="F29" s="13">
        <f>MAX(0,C29-E29)</f>
        <v/>
      </c>
    </row>
    <row r="30">
      <c r="A30" s="11" t="n">
        <v>11</v>
      </c>
      <c r="B30" s="33" t="n">
        <v>45794</v>
      </c>
      <c r="C30" s="13">
        <f>F29</f>
        <v/>
      </c>
      <c r="D30" s="13">
        <f>MAX(0,C30*$B$8/12)</f>
        <v/>
      </c>
      <c r="E30" s="13">
        <f>MAX(0,MIN(C30,$B$9-D30))</f>
        <v/>
      </c>
      <c r="F30" s="13">
        <f>MAX(0,C30-E30)</f>
        <v/>
      </c>
    </row>
    <row r="31">
      <c r="A31" s="11" t="n">
        <v>12</v>
      </c>
      <c r="B31" s="33" t="n">
        <v>45825</v>
      </c>
      <c r="C31" s="13">
        <f>F30</f>
        <v/>
      </c>
      <c r="D31" s="13">
        <f>MAX(0,C31*$B$8/12)</f>
        <v/>
      </c>
      <c r="E31" s="13">
        <f>MAX(0,MIN(C31,$B$9-D31))</f>
        <v/>
      </c>
      <c r="F31" s="13">
        <f>MAX(0,C31-E31)</f>
        <v/>
      </c>
    </row>
    <row r="32">
      <c r="A32" s="11" t="n">
        <v>13</v>
      </c>
      <c r="B32" s="33" t="n">
        <v>45855</v>
      </c>
      <c r="C32" s="13">
        <f>F31</f>
        <v/>
      </c>
      <c r="D32" s="13">
        <f>MAX(0,C32*$B$8/12)</f>
        <v/>
      </c>
      <c r="E32" s="13">
        <f>MAX(0,MIN(C32,$B$9-D32))</f>
        <v/>
      </c>
      <c r="F32" s="13">
        <f>MAX(0,C32-E32)</f>
        <v/>
      </c>
    </row>
    <row r="33">
      <c r="A33" s="11" t="n">
        <v>14</v>
      </c>
      <c r="B33" s="33" t="n">
        <v>45886</v>
      </c>
      <c r="C33" s="13">
        <f>F32</f>
        <v/>
      </c>
      <c r="D33" s="13">
        <f>MAX(0,C33*$B$8/12)</f>
        <v/>
      </c>
      <c r="E33" s="13">
        <f>MAX(0,MIN(C33,$B$9-D33))</f>
        <v/>
      </c>
      <c r="F33" s="13">
        <f>MAX(0,C33-E33)</f>
        <v/>
      </c>
    </row>
    <row r="34">
      <c r="A34" s="11" t="n">
        <v>15</v>
      </c>
      <c r="B34" s="33" t="n">
        <v>45917</v>
      </c>
      <c r="C34" s="13">
        <f>F33</f>
        <v/>
      </c>
      <c r="D34" s="13">
        <f>MAX(0,C34*$B$8/12)</f>
        <v/>
      </c>
      <c r="E34" s="13">
        <f>MAX(0,MIN(C34,$B$9-D34))</f>
        <v/>
      </c>
      <c r="F34" s="13">
        <f>MAX(0,C34-E34)</f>
        <v/>
      </c>
    </row>
    <row r="35">
      <c r="A35" s="11" t="n">
        <v>16</v>
      </c>
      <c r="B35" s="33" t="n">
        <v>45947</v>
      </c>
      <c r="C35" s="13">
        <f>F34</f>
        <v/>
      </c>
      <c r="D35" s="13">
        <f>MAX(0,C35*$B$8/12)</f>
        <v/>
      </c>
      <c r="E35" s="13">
        <f>MAX(0,MIN(C35,$B$9-D35))</f>
        <v/>
      </c>
      <c r="F35" s="13">
        <f>MAX(0,C35-E35)</f>
        <v/>
      </c>
    </row>
    <row r="36">
      <c r="A36" s="11" t="n">
        <v>17</v>
      </c>
      <c r="B36" s="33" t="n">
        <v>45978</v>
      </c>
      <c r="C36" s="13">
        <f>F35</f>
        <v/>
      </c>
      <c r="D36" s="13">
        <f>MAX(0,C36*$B$8/12)</f>
        <v/>
      </c>
      <c r="E36" s="13">
        <f>MAX(0,MIN(C36,$B$9-D36))</f>
        <v/>
      </c>
      <c r="F36" s="13">
        <f>MAX(0,C36-E36)</f>
        <v/>
      </c>
    </row>
    <row r="37">
      <c r="A37" s="11" t="n">
        <v>18</v>
      </c>
      <c r="B37" s="33" t="n">
        <v>46008</v>
      </c>
      <c r="C37" s="13">
        <f>F36</f>
        <v/>
      </c>
      <c r="D37" s="13">
        <f>MAX(0,C37*$B$8/12)</f>
        <v/>
      </c>
      <c r="E37" s="13">
        <f>MAX(0,MIN(C37,$B$9-D37))</f>
        <v/>
      </c>
      <c r="F37" s="13">
        <f>MAX(0,C37-E37)</f>
        <v/>
      </c>
    </row>
    <row r="38">
      <c r="A38" s="11" t="n">
        <v>19</v>
      </c>
      <c r="B38" s="33" t="n">
        <v>46039</v>
      </c>
      <c r="C38" s="13">
        <f>F37</f>
        <v/>
      </c>
      <c r="D38" s="13">
        <f>MAX(0,C38*$B$8/12)</f>
        <v/>
      </c>
      <c r="E38" s="13">
        <f>MAX(0,MIN(C38,$B$9-D38))</f>
        <v/>
      </c>
      <c r="F38" s="13">
        <f>MAX(0,C38-E38)</f>
        <v/>
      </c>
    </row>
    <row r="39">
      <c r="A39" s="11" t="n">
        <v>20</v>
      </c>
      <c r="B39" s="33" t="n">
        <v>46070</v>
      </c>
      <c r="C39" s="13">
        <f>F38</f>
        <v/>
      </c>
      <c r="D39" s="13">
        <f>MAX(0,C39*$B$8/12)</f>
        <v/>
      </c>
      <c r="E39" s="13">
        <f>MAX(0,MIN(C39,$B$9-D39))</f>
        <v/>
      </c>
      <c r="F39" s="13">
        <f>MAX(0,C39-E39)</f>
        <v/>
      </c>
    </row>
    <row r="40">
      <c r="A40" s="11" t="n">
        <v>21</v>
      </c>
      <c r="B40" s="33" t="n">
        <v>46098</v>
      </c>
      <c r="C40" s="13">
        <f>F39</f>
        <v/>
      </c>
      <c r="D40" s="13">
        <f>MAX(0,C40*$B$8/12)</f>
        <v/>
      </c>
      <c r="E40" s="13">
        <f>MAX(0,MIN(C40,$B$9-D40))</f>
        <v/>
      </c>
      <c r="F40" s="13">
        <f>MAX(0,C40-E40)</f>
        <v/>
      </c>
    </row>
    <row r="41">
      <c r="A41" s="11" t="n">
        <v>22</v>
      </c>
      <c r="B41" s="33" t="n">
        <v>46129</v>
      </c>
      <c r="C41" s="13">
        <f>F40</f>
        <v/>
      </c>
      <c r="D41" s="13">
        <f>MAX(0,C41*$B$8/12)</f>
        <v/>
      </c>
      <c r="E41" s="13">
        <f>MAX(0,MIN(C41,$B$9-D41))</f>
        <v/>
      </c>
      <c r="F41" s="13">
        <f>MAX(0,C41-E41)</f>
        <v/>
      </c>
    </row>
    <row r="42">
      <c r="A42" s="11" t="n">
        <v>23</v>
      </c>
      <c r="B42" s="33" t="n">
        <v>46159</v>
      </c>
      <c r="C42" s="13">
        <f>F41</f>
        <v/>
      </c>
      <c r="D42" s="13">
        <f>MAX(0,C42*$B$8/12)</f>
        <v/>
      </c>
      <c r="E42" s="13">
        <f>MAX(0,MIN(C42,$B$9-D42))</f>
        <v/>
      </c>
      <c r="F42" s="13">
        <f>MAX(0,C42-E42)</f>
        <v/>
      </c>
    </row>
    <row r="43">
      <c r="A43" s="11" t="n">
        <v>24</v>
      </c>
      <c r="B43" s="33" t="n">
        <v>46190</v>
      </c>
      <c r="C43" s="13">
        <f>F42</f>
        <v/>
      </c>
      <c r="D43" s="13">
        <f>MAX(0,C43*$B$8/12)</f>
        <v/>
      </c>
      <c r="E43" s="13">
        <f>MAX(0,MIN(C43,$B$9-D43))</f>
        <v/>
      </c>
      <c r="F43" s="13">
        <f>MAX(0,C43-E43)</f>
        <v/>
      </c>
    </row>
    <row r="44">
      <c r="A44" s="11" t="n">
        <v>25</v>
      </c>
      <c r="B44" s="33" t="n">
        <v>46220</v>
      </c>
      <c r="C44" s="13">
        <f>F43</f>
        <v/>
      </c>
      <c r="D44" s="13">
        <f>MAX(0,C44*$B$8/12)</f>
        <v/>
      </c>
      <c r="E44" s="13">
        <f>MAX(0,MIN(C44,$B$9-D44))</f>
        <v/>
      </c>
      <c r="F44" s="13">
        <f>MAX(0,C44-E44)</f>
        <v/>
      </c>
    </row>
    <row r="45">
      <c r="A45" s="11" t="n">
        <v>26</v>
      </c>
      <c r="B45" s="33" t="n">
        <v>46251</v>
      </c>
      <c r="C45" s="13">
        <f>F44</f>
        <v/>
      </c>
      <c r="D45" s="13">
        <f>MAX(0,C45*$B$8/12)</f>
        <v/>
      </c>
      <c r="E45" s="13">
        <f>MAX(0,MIN(C45,$B$9-D45))</f>
        <v/>
      </c>
      <c r="F45" s="13">
        <f>MAX(0,C45-E45)</f>
        <v/>
      </c>
    </row>
    <row r="46">
      <c r="A46" s="11" t="n">
        <v>27</v>
      </c>
      <c r="B46" s="33" t="n">
        <v>46282</v>
      </c>
      <c r="C46" s="13">
        <f>F45</f>
        <v/>
      </c>
      <c r="D46" s="13">
        <f>MAX(0,C46*$B$8/12)</f>
        <v/>
      </c>
      <c r="E46" s="13">
        <f>MAX(0,MIN(C46,$B$9-D46))</f>
        <v/>
      </c>
      <c r="F46" s="13">
        <f>MAX(0,C46-E46)</f>
        <v/>
      </c>
    </row>
    <row r="47">
      <c r="A47" s="11" t="n">
        <v>28</v>
      </c>
      <c r="B47" s="33" t="n">
        <v>46312</v>
      </c>
      <c r="C47" s="13">
        <f>F46</f>
        <v/>
      </c>
      <c r="D47" s="13">
        <f>MAX(0,C47*$B$8/12)</f>
        <v/>
      </c>
      <c r="E47" s="13">
        <f>MAX(0,MIN(C47,$B$9-D47))</f>
        <v/>
      </c>
      <c r="F47" s="13">
        <f>MAX(0,C47-E47)</f>
        <v/>
      </c>
    </row>
    <row r="48">
      <c r="A48" s="11" t="n">
        <v>29</v>
      </c>
      <c r="B48" s="33" t="n">
        <v>46343</v>
      </c>
      <c r="C48" s="13">
        <f>F47</f>
        <v/>
      </c>
      <c r="D48" s="13">
        <f>MAX(0,C48*$B$8/12)</f>
        <v/>
      </c>
      <c r="E48" s="13">
        <f>MAX(0,MIN(C48,$B$9-D48))</f>
        <v/>
      </c>
      <c r="F48" s="13">
        <f>MAX(0,C48-E48)</f>
        <v/>
      </c>
    </row>
    <row r="49">
      <c r="A49" s="11" t="n">
        <v>30</v>
      </c>
      <c r="B49" s="33" t="n">
        <v>46373</v>
      </c>
      <c r="C49" s="13">
        <f>F48</f>
        <v/>
      </c>
      <c r="D49" s="13">
        <f>MAX(0,C49*$B$8/12)</f>
        <v/>
      </c>
      <c r="E49" s="13">
        <f>MAX(0,MIN(C49,$B$9-D49))</f>
        <v/>
      </c>
      <c r="F49" s="13">
        <f>MAX(0,C49-E49)</f>
        <v/>
      </c>
    </row>
    <row r="50">
      <c r="A50" s="11" t="n">
        <v>31</v>
      </c>
      <c r="B50" s="33" t="n">
        <v>46404</v>
      </c>
      <c r="C50" s="13">
        <f>F49</f>
        <v/>
      </c>
      <c r="D50" s="13">
        <f>MAX(0,C50*$B$8/12)</f>
        <v/>
      </c>
      <c r="E50" s="13">
        <f>MAX(0,MIN(C50,$B$9-D50))</f>
        <v/>
      </c>
      <c r="F50" s="13">
        <f>MAX(0,C50-E50)</f>
        <v/>
      </c>
    </row>
    <row r="51">
      <c r="A51" s="11" t="n">
        <v>32</v>
      </c>
      <c r="B51" s="33" t="n">
        <v>46435</v>
      </c>
      <c r="C51" s="13">
        <f>F50</f>
        <v/>
      </c>
      <c r="D51" s="13">
        <f>MAX(0,C51*$B$8/12)</f>
        <v/>
      </c>
      <c r="E51" s="13">
        <f>MAX(0,MIN(C51,$B$9-D51))</f>
        <v/>
      </c>
      <c r="F51" s="13">
        <f>MAX(0,C51-E51)</f>
        <v/>
      </c>
    </row>
    <row r="52">
      <c r="A52" s="11" t="n">
        <v>33</v>
      </c>
      <c r="B52" s="33" t="n">
        <v>46463</v>
      </c>
      <c r="C52" s="13">
        <f>F51</f>
        <v/>
      </c>
      <c r="D52" s="13">
        <f>MAX(0,C52*$B$8/12)</f>
        <v/>
      </c>
      <c r="E52" s="13">
        <f>MAX(0,MIN(C52,$B$9-D52))</f>
        <v/>
      </c>
      <c r="F52" s="13">
        <f>MAX(0,C52-E52)</f>
        <v/>
      </c>
    </row>
    <row r="53">
      <c r="A53" s="11" t="n">
        <v>34</v>
      </c>
      <c r="B53" s="33" t="n">
        <v>46494</v>
      </c>
      <c r="C53" s="13">
        <f>F52</f>
        <v/>
      </c>
      <c r="D53" s="13">
        <f>MAX(0,C53*$B$8/12)</f>
        <v/>
      </c>
      <c r="E53" s="13">
        <f>MAX(0,MIN(C53,$B$9-D53))</f>
        <v/>
      </c>
      <c r="F53" s="13">
        <f>MAX(0,C53-E53)</f>
        <v/>
      </c>
    </row>
    <row r="54">
      <c r="A54" s="11" t="n">
        <v>35</v>
      </c>
      <c r="B54" s="33" t="n">
        <v>46524</v>
      </c>
      <c r="C54" s="13">
        <f>F53</f>
        <v/>
      </c>
      <c r="D54" s="13">
        <f>MAX(0,C54*$B$8/12)</f>
        <v/>
      </c>
      <c r="E54" s="13">
        <f>MAX(0,MIN(C54,$B$9-D54))</f>
        <v/>
      </c>
      <c r="F54" s="13">
        <f>MAX(0,C54-E54)</f>
        <v/>
      </c>
    </row>
    <row r="55">
      <c r="A55" s="11" t="n">
        <v>36</v>
      </c>
      <c r="B55" s="33" t="n">
        <v>46555</v>
      </c>
      <c r="C55" s="13">
        <f>F54</f>
        <v/>
      </c>
      <c r="D55" s="13">
        <f>MAX(0,C55*$B$8/12)</f>
        <v/>
      </c>
      <c r="E55" s="13">
        <f>MAX(0,MIN(C55,$B$9-D55))</f>
        <v/>
      </c>
      <c r="F55" s="13">
        <f>MAX(0,C55-E55)</f>
        <v/>
      </c>
    </row>
    <row r="56">
      <c r="A56" s="11" t="n">
        <v>37</v>
      </c>
      <c r="B56" s="33" t="n">
        <v>46585</v>
      </c>
      <c r="C56" s="13">
        <f>F55</f>
        <v/>
      </c>
      <c r="D56" s="13">
        <f>MAX(0,C56*$B$8/12)</f>
        <v/>
      </c>
      <c r="E56" s="13">
        <f>MAX(0,MIN(C56,$B$9-D56))</f>
        <v/>
      </c>
      <c r="F56" s="13">
        <f>MAX(0,C56-E56)</f>
        <v/>
      </c>
    </row>
    <row r="57">
      <c r="A57" s="11" t="n">
        <v>38</v>
      </c>
      <c r="B57" s="33" t="n">
        <v>46616</v>
      </c>
      <c r="C57" s="13">
        <f>F56</f>
        <v/>
      </c>
      <c r="D57" s="13">
        <f>MAX(0,C57*$B$8/12)</f>
        <v/>
      </c>
      <c r="E57" s="13">
        <f>MAX(0,MIN(C57,$B$9-D57))</f>
        <v/>
      </c>
      <c r="F57" s="13">
        <f>MAX(0,C57-E57)</f>
        <v/>
      </c>
    </row>
    <row r="58">
      <c r="A58" s="11" t="n">
        <v>39</v>
      </c>
      <c r="B58" s="33" t="n">
        <v>46647</v>
      </c>
      <c r="C58" s="13">
        <f>F57</f>
        <v/>
      </c>
      <c r="D58" s="13">
        <f>MAX(0,C58*$B$8/12)</f>
        <v/>
      </c>
      <c r="E58" s="13">
        <f>MAX(0,MIN(C58,$B$9-D58))</f>
        <v/>
      </c>
      <c r="F58" s="13">
        <f>MAX(0,C58-E58)</f>
        <v/>
      </c>
    </row>
    <row r="59">
      <c r="A59" s="11" t="n">
        <v>40</v>
      </c>
      <c r="B59" s="33" t="n">
        <v>46677</v>
      </c>
      <c r="C59" s="13">
        <f>F58</f>
        <v/>
      </c>
      <c r="D59" s="13">
        <f>MAX(0,C59*$B$8/12)</f>
        <v/>
      </c>
      <c r="E59" s="13">
        <f>MAX(0,MIN(C59,$B$9-D59))</f>
        <v/>
      </c>
      <c r="F59" s="13">
        <f>MAX(0,C59-E59)</f>
        <v/>
      </c>
    </row>
    <row r="60">
      <c r="A60" s="11" t="n">
        <v>41</v>
      </c>
      <c r="B60" s="33" t="n">
        <v>46708</v>
      </c>
      <c r="C60" s="13">
        <f>F59</f>
        <v/>
      </c>
      <c r="D60" s="13">
        <f>MAX(0,C60*$B$8/12)</f>
        <v/>
      </c>
      <c r="E60" s="13">
        <f>MAX(0,MIN(C60,$B$9-D60))</f>
        <v/>
      </c>
      <c r="F60" s="13">
        <f>MAX(0,C60-E60)</f>
        <v/>
      </c>
    </row>
    <row r="61">
      <c r="A61" s="11" t="n">
        <v>42</v>
      </c>
      <c r="B61" s="33" t="n">
        <v>46738</v>
      </c>
      <c r="C61" s="13">
        <f>F60</f>
        <v/>
      </c>
      <c r="D61" s="13">
        <f>MAX(0,C61*$B$8/12)</f>
        <v/>
      </c>
      <c r="E61" s="13">
        <f>MAX(0,MIN(C61,$B$9-D61))</f>
        <v/>
      </c>
      <c r="F61" s="13">
        <f>MAX(0,C61-E61)</f>
        <v/>
      </c>
    </row>
    <row r="62">
      <c r="A62" s="11" t="n">
        <v>43</v>
      </c>
      <c r="B62" s="33" t="n">
        <v>46769</v>
      </c>
      <c r="C62" s="13">
        <f>F61</f>
        <v/>
      </c>
      <c r="D62" s="13">
        <f>MAX(0,C62*$B$8/12)</f>
        <v/>
      </c>
      <c r="E62" s="13">
        <f>MAX(0,MIN(C62,$B$9-D62))</f>
        <v/>
      </c>
      <c r="F62" s="13">
        <f>MAX(0,C62-E62)</f>
        <v/>
      </c>
    </row>
    <row r="63">
      <c r="A63" s="11" t="n">
        <v>44</v>
      </c>
      <c r="B63" s="33" t="n">
        <v>46800</v>
      </c>
      <c r="C63" s="13">
        <f>F62</f>
        <v/>
      </c>
      <c r="D63" s="13">
        <f>MAX(0,C63*$B$8/12)</f>
        <v/>
      </c>
      <c r="E63" s="13">
        <f>MAX(0,MIN(C63,$B$9-D63))</f>
        <v/>
      </c>
      <c r="F63" s="13">
        <f>MAX(0,C63-E63)</f>
        <v/>
      </c>
    </row>
    <row r="64">
      <c r="A64" s="11" t="n">
        <v>45</v>
      </c>
      <c r="B64" s="33" t="n">
        <v>46829</v>
      </c>
      <c r="C64" s="13">
        <f>F63</f>
        <v/>
      </c>
      <c r="D64" s="13">
        <f>MAX(0,C64*$B$8/12)</f>
        <v/>
      </c>
      <c r="E64" s="13">
        <f>MAX(0,MIN(C64,$B$9-D64))</f>
        <v/>
      </c>
      <c r="F64" s="13">
        <f>MAX(0,C64-E64)</f>
        <v/>
      </c>
    </row>
    <row r="65">
      <c r="A65" s="11" t="n">
        <v>46</v>
      </c>
      <c r="B65" s="33" t="n">
        <v>46860</v>
      </c>
      <c r="C65" s="13">
        <f>F64</f>
        <v/>
      </c>
      <c r="D65" s="13">
        <f>MAX(0,C65*$B$8/12)</f>
        <v/>
      </c>
      <c r="E65" s="13">
        <f>MAX(0,MIN(C65,$B$9-D65))</f>
        <v/>
      </c>
      <c r="F65" s="13">
        <f>MAX(0,C65-E65)</f>
        <v/>
      </c>
    </row>
    <row r="66">
      <c r="A66" s="11" t="n">
        <v>47</v>
      </c>
      <c r="B66" s="33" t="n">
        <v>46890</v>
      </c>
      <c r="C66" s="13">
        <f>F65</f>
        <v/>
      </c>
      <c r="D66" s="13">
        <f>MAX(0,C66*$B$8/12)</f>
        <v/>
      </c>
      <c r="E66" s="13">
        <f>MAX(0,MIN(C66,$B$9-D66))</f>
        <v/>
      </c>
      <c r="F66" s="13">
        <f>MAX(0,C66-E66)</f>
        <v/>
      </c>
    </row>
    <row r="67">
      <c r="A67" s="11" t="n">
        <v>48</v>
      </c>
      <c r="B67" s="33" t="n">
        <v>46921</v>
      </c>
      <c r="C67" s="13">
        <f>F66</f>
        <v/>
      </c>
      <c r="D67" s="13">
        <f>MAX(0,C67*$B$8/12)</f>
        <v/>
      </c>
      <c r="E67" s="13">
        <f>MAX(0,MIN(C67,$B$9-D67))</f>
        <v/>
      </c>
      <c r="F67" s="13">
        <f>MAX(0,C67-E67)</f>
        <v/>
      </c>
    </row>
    <row r="68">
      <c r="A68" s="11" t="n">
        <v>49</v>
      </c>
      <c r="B68" s="33" t="n">
        <v>46951</v>
      </c>
      <c r="C68" s="13">
        <f>F67</f>
        <v/>
      </c>
      <c r="D68" s="13">
        <f>MAX(0,C68*$B$8/12)</f>
        <v/>
      </c>
      <c r="E68" s="13">
        <f>MAX(0,MIN(C68,$B$9-D68))</f>
        <v/>
      </c>
      <c r="F68" s="13">
        <f>MAX(0,C68-E68)</f>
        <v/>
      </c>
    </row>
    <row r="69">
      <c r="A69" s="11" t="n">
        <v>50</v>
      </c>
      <c r="B69" s="33" t="n">
        <v>46982</v>
      </c>
      <c r="C69" s="13">
        <f>F68</f>
        <v/>
      </c>
      <c r="D69" s="13">
        <f>MAX(0,C69*$B$8/12)</f>
        <v/>
      </c>
      <c r="E69" s="13">
        <f>MAX(0,MIN(C69,$B$9-D69))</f>
        <v/>
      </c>
      <c r="F69" s="13">
        <f>MAX(0,C69-E69)</f>
        <v/>
      </c>
    </row>
    <row r="70">
      <c r="A70" s="11" t="n">
        <v>51</v>
      </c>
      <c r="B70" s="33" t="n">
        <v>47013</v>
      </c>
      <c r="C70" s="13">
        <f>F69</f>
        <v/>
      </c>
      <c r="D70" s="13">
        <f>MAX(0,C70*$B$8/12)</f>
        <v/>
      </c>
      <c r="E70" s="13">
        <f>MAX(0,MIN(C70,$B$9-D70))</f>
        <v/>
      </c>
      <c r="F70" s="13">
        <f>MAX(0,C70-E70)</f>
        <v/>
      </c>
    </row>
    <row r="71">
      <c r="A71" s="11" t="n">
        <v>52</v>
      </c>
      <c r="B71" s="33" t="n">
        <v>47043</v>
      </c>
      <c r="C71" s="13">
        <f>F70</f>
        <v/>
      </c>
      <c r="D71" s="13">
        <f>MAX(0,C71*$B$8/12)</f>
        <v/>
      </c>
      <c r="E71" s="13">
        <f>MAX(0,MIN(C71,$B$9-D71))</f>
        <v/>
      </c>
      <c r="F71" s="13">
        <f>MAX(0,C71-E71)</f>
        <v/>
      </c>
    </row>
    <row r="72">
      <c r="A72" s="11" t="n">
        <v>53</v>
      </c>
      <c r="B72" s="33" t="n">
        <v>47074</v>
      </c>
      <c r="C72" s="13">
        <f>F71</f>
        <v/>
      </c>
      <c r="D72" s="13">
        <f>MAX(0,C72*$B$8/12)</f>
        <v/>
      </c>
      <c r="E72" s="13">
        <f>MAX(0,MIN(C72,$B$9-D72))</f>
        <v/>
      </c>
      <c r="F72" s="13">
        <f>MAX(0,C72-E72)</f>
        <v/>
      </c>
    </row>
    <row r="73">
      <c r="A73" s="11" t="n">
        <v>54</v>
      </c>
      <c r="B73" s="33" t="n">
        <v>47104</v>
      </c>
      <c r="C73" s="13">
        <f>F72</f>
        <v/>
      </c>
      <c r="D73" s="13">
        <f>MAX(0,C73*$B$8/12)</f>
        <v/>
      </c>
      <c r="E73" s="13">
        <f>MAX(0,MIN(C73,$B$9-D73))</f>
        <v/>
      </c>
      <c r="F73" s="13">
        <f>MAX(0,C73-E73)</f>
        <v/>
      </c>
    </row>
    <row r="74">
      <c r="A74" s="11" t="n">
        <v>55</v>
      </c>
      <c r="B74" s="33" t="n">
        <v>47135</v>
      </c>
      <c r="C74" s="13">
        <f>F73</f>
        <v/>
      </c>
      <c r="D74" s="13">
        <f>MAX(0,C74*$B$8/12)</f>
        <v/>
      </c>
      <c r="E74" s="13">
        <f>MAX(0,MIN(C74,$B$9-D74))</f>
        <v/>
      </c>
      <c r="F74" s="13">
        <f>MAX(0,C74-E74)</f>
        <v/>
      </c>
    </row>
    <row r="75">
      <c r="A75" s="11" t="n">
        <v>56</v>
      </c>
      <c r="B75" s="33" t="n">
        <v>47166</v>
      </c>
      <c r="C75" s="13">
        <f>F74</f>
        <v/>
      </c>
      <c r="D75" s="13">
        <f>MAX(0,C75*$B$8/12)</f>
        <v/>
      </c>
      <c r="E75" s="13">
        <f>MAX(0,MIN(C75,$B$9-D75))</f>
        <v/>
      </c>
      <c r="F75" s="13">
        <f>MAX(0,C75-E75)</f>
        <v/>
      </c>
    </row>
    <row r="76">
      <c r="A76" s="11" t="n">
        <v>57</v>
      </c>
      <c r="B76" s="33" t="n">
        <v>47194</v>
      </c>
      <c r="C76" s="13">
        <f>F75</f>
        <v/>
      </c>
      <c r="D76" s="13">
        <f>MAX(0,C76*$B$8/12)</f>
        <v/>
      </c>
      <c r="E76" s="13">
        <f>MAX(0,MIN(C76,$B$9-D76))</f>
        <v/>
      </c>
      <c r="F76" s="13">
        <f>MAX(0,C76-E76)</f>
        <v/>
      </c>
    </row>
    <row r="77">
      <c r="A77" s="11" t="n">
        <v>58</v>
      </c>
      <c r="B77" s="33" t="n">
        <v>47225</v>
      </c>
      <c r="C77" s="13">
        <f>F76</f>
        <v/>
      </c>
      <c r="D77" s="13">
        <f>MAX(0,C77*$B$8/12)</f>
        <v/>
      </c>
      <c r="E77" s="13">
        <f>MAX(0,MIN(C77,$B$9-D77))</f>
        <v/>
      </c>
      <c r="F77" s="13">
        <f>MAX(0,C77-E77)</f>
        <v/>
      </c>
    </row>
    <row r="78">
      <c r="A78" s="11" t="n">
        <v>59</v>
      </c>
      <c r="B78" s="33" t="n">
        <v>47255</v>
      </c>
      <c r="C78" s="13">
        <f>F77</f>
        <v/>
      </c>
      <c r="D78" s="13">
        <f>MAX(0,C78*$B$8/12)</f>
        <v/>
      </c>
      <c r="E78" s="13">
        <f>MAX(0,MIN(C78,$B$9-D78))</f>
        <v/>
      </c>
      <c r="F78" s="13">
        <f>MAX(0,C78-E78)</f>
        <v/>
      </c>
    </row>
    <row r="79">
      <c r="A79" s="11" t="n">
        <v>60</v>
      </c>
      <c r="B79" s="33" t="n">
        <v>47286</v>
      </c>
      <c r="C79" s="13">
        <f>F78</f>
        <v/>
      </c>
      <c r="D79" s="13">
        <f>MAX(0,C79*$B$8/12)</f>
        <v/>
      </c>
      <c r="E79" s="13">
        <f>MAX(0,MIN(C79,$B$9-D79))</f>
        <v/>
      </c>
      <c r="F79" s="13">
        <f>MAX(0,C79-E79)</f>
        <v/>
      </c>
    </row>
    <row r="80">
      <c r="A80" s="11" t="n">
        <v>61</v>
      </c>
      <c r="B80" s="33" t="n">
        <v>47316</v>
      </c>
      <c r="C80" s="13">
        <f>F79</f>
        <v/>
      </c>
      <c r="D80" s="13">
        <f>MAX(0,C80*$B$8/12)</f>
        <v/>
      </c>
      <c r="E80" s="13">
        <f>MAX(0,MIN(C80,$B$9-D80))</f>
        <v/>
      </c>
      <c r="F80" s="13">
        <f>MAX(0,C80-E80)</f>
        <v/>
      </c>
    </row>
    <row r="81">
      <c r="A81" s="11" t="n">
        <v>62</v>
      </c>
      <c r="B81" s="33" t="n">
        <v>47347</v>
      </c>
      <c r="C81" s="13">
        <f>F80</f>
        <v/>
      </c>
      <c r="D81" s="13">
        <f>MAX(0,C81*$B$8/12)</f>
        <v/>
      </c>
      <c r="E81" s="13">
        <f>MAX(0,MIN(C81,$B$9-D81))</f>
        <v/>
      </c>
      <c r="F81" s="13">
        <f>MAX(0,C81-E81)</f>
        <v/>
      </c>
    </row>
    <row r="82">
      <c r="A82" s="11" t="n">
        <v>63</v>
      </c>
      <c r="B82" s="33" t="n">
        <v>47378</v>
      </c>
      <c r="C82" s="13">
        <f>F81</f>
        <v/>
      </c>
      <c r="D82" s="13">
        <f>MAX(0,C82*$B$8/12)</f>
        <v/>
      </c>
      <c r="E82" s="13">
        <f>MAX(0,MIN(C82,$B$9-D82))</f>
        <v/>
      </c>
      <c r="F82" s="13">
        <f>MAX(0,C82-E82)</f>
        <v/>
      </c>
    </row>
    <row r="83">
      <c r="A83" s="11" t="n">
        <v>64</v>
      </c>
      <c r="B83" s="33" t="n">
        <v>47408</v>
      </c>
      <c r="C83" s="13">
        <f>F82</f>
        <v/>
      </c>
      <c r="D83" s="13">
        <f>MAX(0,C83*$B$8/12)</f>
        <v/>
      </c>
      <c r="E83" s="13">
        <f>MAX(0,MIN(C83,$B$9-D83))</f>
        <v/>
      </c>
      <c r="F83" s="13">
        <f>MAX(0,C83-E83)</f>
        <v/>
      </c>
    </row>
    <row r="84">
      <c r="A84" s="11" t="n">
        <v>65</v>
      </c>
      <c r="B84" s="33" t="n">
        <v>47439</v>
      </c>
      <c r="C84" s="13">
        <f>F83</f>
        <v/>
      </c>
      <c r="D84" s="13">
        <f>MAX(0,C84*$B$8/12)</f>
        <v/>
      </c>
      <c r="E84" s="13">
        <f>MAX(0,MIN(C84,$B$9-D84))</f>
        <v/>
      </c>
      <c r="F84" s="13">
        <f>MAX(0,C84-E84)</f>
        <v/>
      </c>
    </row>
    <row r="85">
      <c r="A85" s="11" t="n">
        <v>66</v>
      </c>
      <c r="B85" s="33" t="n">
        <v>47469</v>
      </c>
      <c r="C85" s="13">
        <f>F84</f>
        <v/>
      </c>
      <c r="D85" s="13">
        <f>MAX(0,C85*$B$8/12)</f>
        <v/>
      </c>
      <c r="E85" s="13">
        <f>MAX(0,MIN(C85,$B$9-D85))</f>
        <v/>
      </c>
      <c r="F85" s="13">
        <f>MAX(0,C85-E85)</f>
        <v/>
      </c>
    </row>
    <row r="86">
      <c r="A86" s="11" t="n">
        <v>67</v>
      </c>
      <c r="B86" s="33" t="n">
        <v>47500</v>
      </c>
      <c r="C86" s="13">
        <f>F85</f>
        <v/>
      </c>
      <c r="D86" s="13">
        <f>MAX(0,C86*$B$8/12)</f>
        <v/>
      </c>
      <c r="E86" s="13">
        <f>MAX(0,MIN(C86,$B$9-D86))</f>
        <v/>
      </c>
      <c r="F86" s="13">
        <f>MAX(0,C86-E86)</f>
        <v/>
      </c>
    </row>
    <row r="87">
      <c r="A87" s="11" t="n">
        <v>68</v>
      </c>
      <c r="B87" s="33" t="n">
        <v>47531</v>
      </c>
      <c r="C87" s="13">
        <f>F86</f>
        <v/>
      </c>
      <c r="D87" s="13">
        <f>MAX(0,C87*$B$8/12)</f>
        <v/>
      </c>
      <c r="E87" s="13">
        <f>MAX(0,MIN(C87,$B$9-D87))</f>
        <v/>
      </c>
      <c r="F87" s="13">
        <f>MAX(0,C87-E87)</f>
        <v/>
      </c>
    </row>
    <row r="88">
      <c r="A88" s="11" t="n">
        <v>69</v>
      </c>
      <c r="B88" s="33" t="n">
        <v>47559</v>
      </c>
      <c r="C88" s="13">
        <f>F87</f>
        <v/>
      </c>
      <c r="D88" s="13">
        <f>MAX(0,C88*$B$8/12)</f>
        <v/>
      </c>
      <c r="E88" s="13">
        <f>MAX(0,MIN(C88,$B$9-D88))</f>
        <v/>
      </c>
      <c r="F88" s="13">
        <f>MAX(0,C88-E88)</f>
        <v/>
      </c>
    </row>
    <row r="89">
      <c r="A89" s="11" t="n">
        <v>70</v>
      </c>
      <c r="B89" s="33" t="n">
        <v>47590</v>
      </c>
      <c r="C89" s="13">
        <f>F88</f>
        <v/>
      </c>
      <c r="D89" s="13">
        <f>MAX(0,C89*$B$8/12)</f>
        <v/>
      </c>
      <c r="E89" s="13">
        <f>MAX(0,MIN(C89,$B$9-D89))</f>
        <v/>
      </c>
      <c r="F89" s="13">
        <f>MAX(0,C89-E89)</f>
        <v/>
      </c>
    </row>
    <row r="90">
      <c r="A90" s="11" t="n">
        <v>71</v>
      </c>
      <c r="B90" s="33" t="n">
        <v>47620</v>
      </c>
      <c r="C90" s="13">
        <f>F89</f>
        <v/>
      </c>
      <c r="D90" s="13">
        <f>MAX(0,C90*$B$8/12)</f>
        <v/>
      </c>
      <c r="E90" s="13">
        <f>MAX(0,MIN(C90,$B$9-D90))</f>
        <v/>
      </c>
      <c r="F90" s="13">
        <f>MAX(0,C90-E90)</f>
        <v/>
      </c>
    </row>
    <row r="91">
      <c r="A91" s="11" t="n">
        <v>72</v>
      </c>
      <c r="B91" s="33" t="n">
        <v>47651</v>
      </c>
      <c r="C91" s="13">
        <f>F90</f>
        <v/>
      </c>
      <c r="D91" s="13">
        <f>MAX(0,C91*$B$8/12)</f>
        <v/>
      </c>
      <c r="E91" s="13">
        <f>MAX(0,MIN(C91,$B$9-D91))</f>
        <v/>
      </c>
      <c r="F91" s="13">
        <f>MAX(0,C91-E91)</f>
        <v/>
      </c>
    </row>
    <row r="92">
      <c r="A92" s="11" t="n">
        <v>73</v>
      </c>
      <c r="B92" s="33" t="n">
        <v>47681</v>
      </c>
      <c r="C92" s="13">
        <f>F91</f>
        <v/>
      </c>
      <c r="D92" s="13">
        <f>MAX(0,C92*$B$8/12)</f>
        <v/>
      </c>
      <c r="E92" s="13">
        <f>MAX(0,MIN(C92,$B$9-D92))</f>
        <v/>
      </c>
      <c r="F92" s="13">
        <f>MAX(0,C92-E92)</f>
        <v/>
      </c>
    </row>
    <row r="93">
      <c r="A93" s="11" t="n">
        <v>74</v>
      </c>
      <c r="B93" s="33" t="n">
        <v>47712</v>
      </c>
      <c r="C93" s="13">
        <f>F92</f>
        <v/>
      </c>
      <c r="D93" s="13">
        <f>MAX(0,C93*$B$8/12)</f>
        <v/>
      </c>
      <c r="E93" s="13">
        <f>MAX(0,MIN(C93,$B$9-D93))</f>
        <v/>
      </c>
      <c r="F93" s="13">
        <f>MAX(0,C93-E93)</f>
        <v/>
      </c>
    </row>
    <row r="94">
      <c r="A94" s="11" t="n">
        <v>75</v>
      </c>
      <c r="B94" s="33" t="n">
        <v>47743</v>
      </c>
      <c r="C94" s="13">
        <f>F93</f>
        <v/>
      </c>
      <c r="D94" s="13">
        <f>MAX(0,C94*$B$8/12)</f>
        <v/>
      </c>
      <c r="E94" s="13">
        <f>MAX(0,MIN(C94,$B$9-D94))</f>
        <v/>
      </c>
      <c r="F94" s="13">
        <f>MAX(0,C94-E94)</f>
        <v/>
      </c>
    </row>
    <row r="95">
      <c r="A95" s="11" t="n">
        <v>76</v>
      </c>
      <c r="B95" s="33" t="n">
        <v>47773</v>
      </c>
      <c r="C95" s="13">
        <f>F94</f>
        <v/>
      </c>
      <c r="D95" s="13">
        <f>MAX(0,C95*$B$8/12)</f>
        <v/>
      </c>
      <c r="E95" s="13">
        <f>MAX(0,MIN(C95,$B$9-D95))</f>
        <v/>
      </c>
      <c r="F95" s="13">
        <f>MAX(0,C95-E95)</f>
        <v/>
      </c>
    </row>
    <row r="96">
      <c r="A96" s="11" t="n">
        <v>77</v>
      </c>
      <c r="B96" s="33" t="n">
        <v>47804</v>
      </c>
      <c r="C96" s="13">
        <f>F95</f>
        <v/>
      </c>
      <c r="D96" s="13">
        <f>MAX(0,C96*$B$8/12)</f>
        <v/>
      </c>
      <c r="E96" s="13">
        <f>MAX(0,MIN(C96,$B$9-D96))</f>
        <v/>
      </c>
      <c r="F96" s="13">
        <f>MAX(0,C96-E96)</f>
        <v/>
      </c>
    </row>
    <row r="97">
      <c r="A97" s="11" t="n">
        <v>78</v>
      </c>
      <c r="B97" s="33" t="n">
        <v>47834</v>
      </c>
      <c r="C97" s="13">
        <f>F96</f>
        <v/>
      </c>
      <c r="D97" s="13">
        <f>MAX(0,C97*$B$8/12)</f>
        <v/>
      </c>
      <c r="E97" s="13">
        <f>MAX(0,MIN(C97,$B$9-D97))</f>
        <v/>
      </c>
      <c r="F97" s="13">
        <f>MAX(0,C97-E97)</f>
        <v/>
      </c>
    </row>
    <row r="98">
      <c r="A98" s="11" t="n">
        <v>79</v>
      </c>
      <c r="B98" s="33" t="n">
        <v>47865</v>
      </c>
      <c r="C98" s="13">
        <f>F97</f>
        <v/>
      </c>
      <c r="D98" s="13">
        <f>MAX(0,C98*$B$8/12)</f>
        <v/>
      </c>
      <c r="E98" s="13">
        <f>MAX(0,MIN(C98,$B$9-D98))</f>
        <v/>
      </c>
      <c r="F98" s="13">
        <f>MAX(0,C98-E98)</f>
        <v/>
      </c>
    </row>
    <row r="99">
      <c r="A99" s="11" t="n">
        <v>80</v>
      </c>
      <c r="B99" s="33" t="n">
        <v>47896</v>
      </c>
      <c r="C99" s="13">
        <f>F98</f>
        <v/>
      </c>
      <c r="D99" s="13">
        <f>MAX(0,C99*$B$8/12)</f>
        <v/>
      </c>
      <c r="E99" s="13">
        <f>MAX(0,MIN(C99,$B$9-D99))</f>
        <v/>
      </c>
      <c r="F99" s="13">
        <f>MAX(0,C99-E99)</f>
        <v/>
      </c>
    </row>
    <row r="100">
      <c r="A100" s="11" t="n">
        <v>81</v>
      </c>
      <c r="B100" s="33" t="n">
        <v>47924</v>
      </c>
      <c r="C100" s="13">
        <f>F99</f>
        <v/>
      </c>
      <c r="D100" s="13">
        <f>MAX(0,C100*$B$8/12)</f>
        <v/>
      </c>
      <c r="E100" s="13">
        <f>MAX(0,MIN(C100,$B$9-D100))</f>
        <v/>
      </c>
      <c r="F100" s="13">
        <f>MAX(0,C100-E100)</f>
        <v/>
      </c>
    </row>
    <row r="101">
      <c r="A101" s="11" t="n">
        <v>82</v>
      </c>
      <c r="B101" s="33" t="n">
        <v>47955</v>
      </c>
      <c r="C101" s="13">
        <f>F100</f>
        <v/>
      </c>
      <c r="D101" s="13">
        <f>MAX(0,C101*$B$8/12)</f>
        <v/>
      </c>
      <c r="E101" s="13">
        <f>MAX(0,MIN(C101,$B$9-D101))</f>
        <v/>
      </c>
      <c r="F101" s="13">
        <f>MAX(0,C101-E101)</f>
        <v/>
      </c>
    </row>
    <row r="102">
      <c r="A102" s="11" t="n">
        <v>83</v>
      </c>
      <c r="B102" s="33" t="n">
        <v>47985</v>
      </c>
      <c r="C102" s="13">
        <f>F101</f>
        <v/>
      </c>
      <c r="D102" s="13">
        <f>MAX(0,C102*$B$8/12)</f>
        <v/>
      </c>
      <c r="E102" s="13">
        <f>MAX(0,MIN(C102,$B$9-D102))</f>
        <v/>
      </c>
      <c r="F102" s="13">
        <f>MAX(0,C102-E102)</f>
        <v/>
      </c>
    </row>
    <row r="103">
      <c r="A103" s="11" t="n">
        <v>84</v>
      </c>
      <c r="B103" s="33" t="n">
        <v>48016</v>
      </c>
      <c r="C103" s="13">
        <f>F102</f>
        <v/>
      </c>
      <c r="D103" s="13">
        <f>MAX(0,C103*$B$8/12)</f>
        <v/>
      </c>
      <c r="E103" s="13">
        <f>MAX(0,MIN(C103,$B$9-D103))</f>
        <v/>
      </c>
      <c r="F103" s="13">
        <f>MAX(0,C103-E103)</f>
        <v/>
      </c>
    </row>
    <row r="105">
      <c r="A105" s="55" t="inlineStr">
        <is>
          <t>ANNUAL SUMMARY</t>
        </is>
      </c>
      <c r="B105" s="56" t="n"/>
      <c r="C105" s="56" t="n"/>
      <c r="D105" s="56" t="n"/>
      <c r="E105" s="56" t="n"/>
      <c r="F105" s="56" t="n"/>
    </row>
    <row r="106">
      <c r="A106" s="57" t="inlineStr">
        <is>
          <t>Year</t>
        </is>
      </c>
      <c r="B106" s="57" t="inlineStr">
        <is>
          <t>Opening</t>
        </is>
      </c>
      <c r="C106" s="57" t="inlineStr">
        <is>
          <t>Interest</t>
        </is>
      </c>
      <c r="D106" s="57" t="inlineStr">
        <is>
          <t>Principal</t>
        </is>
      </c>
      <c r="E106" s="57" t="inlineStr">
        <is>
          <t>Closing</t>
        </is>
      </c>
    </row>
    <row r="107">
      <c r="A107" s="58" t="n">
        <v>2024</v>
      </c>
      <c r="B107" s="59">
        <f>C20</f>
        <v/>
      </c>
      <c r="C107" s="59">
        <f>SUM(D20:D25)</f>
        <v/>
      </c>
      <c r="D107" s="59">
        <f>SUM(E20:E25)</f>
        <v/>
      </c>
      <c r="E107" s="59">
        <f>F25</f>
        <v/>
      </c>
    </row>
    <row r="108">
      <c r="A108" s="58" t="n">
        <v>2025</v>
      </c>
      <c r="B108" s="59">
        <f>C26</f>
        <v/>
      </c>
      <c r="C108" s="59">
        <f>SUM(D26:D37)</f>
        <v/>
      </c>
      <c r="D108" s="59">
        <f>SUM(E26:E37)</f>
        <v/>
      </c>
      <c r="E108" s="59">
        <f>F37</f>
        <v/>
      </c>
    </row>
    <row r="109">
      <c r="A109" s="58" t="n">
        <v>2026</v>
      </c>
      <c r="B109" s="59">
        <f>C38</f>
        <v/>
      </c>
      <c r="C109" s="59">
        <f>SUM(D38:D49)</f>
        <v/>
      </c>
      <c r="D109" s="59">
        <f>SUM(E38:E49)</f>
        <v/>
      </c>
      <c r="E109" s="59">
        <f>F49</f>
        <v/>
      </c>
    </row>
    <row r="110">
      <c r="A110" s="58" t="n">
        <v>2027</v>
      </c>
      <c r="B110" s="59">
        <f>C50</f>
        <v/>
      </c>
      <c r="C110" s="59">
        <f>SUM(D50:D61)</f>
        <v/>
      </c>
      <c r="D110" s="59">
        <f>SUM(E50:E61)</f>
        <v/>
      </c>
      <c r="E110" s="59">
        <f>F61</f>
        <v/>
      </c>
    </row>
    <row r="111">
      <c r="A111" s="58" t="n">
        <v>2028</v>
      </c>
      <c r="B111" s="59">
        <f>C62</f>
        <v/>
      </c>
      <c r="C111" s="59">
        <f>SUM(D62:D73)</f>
        <v/>
      </c>
      <c r="D111" s="59">
        <f>SUM(E62:E73)</f>
        <v/>
      </c>
      <c r="E111" s="59">
        <f>F73</f>
        <v/>
      </c>
    </row>
    <row r="112">
      <c r="A112" s="58" t="n">
        <v>2029</v>
      </c>
      <c r="B112" s="59">
        <f>C74</f>
        <v/>
      </c>
      <c r="C112" s="59">
        <f>SUM(D74:D85)</f>
        <v/>
      </c>
      <c r="D112" s="59">
        <f>SUM(E74:E85)</f>
        <v/>
      </c>
      <c r="E112" s="59">
        <f>F85</f>
        <v/>
      </c>
    </row>
    <row r="113">
      <c r="A113" s="58" t="n">
        <v>2030</v>
      </c>
      <c r="B113" s="59">
        <f>C86</f>
        <v/>
      </c>
      <c r="C113" s="59">
        <f>SUM(D86:D97)</f>
        <v/>
      </c>
      <c r="D113" s="59">
        <f>SUM(E86:E97)</f>
        <v/>
      </c>
      <c r="E113" s="59">
        <f>F97</f>
        <v/>
      </c>
    </row>
    <row r="114">
      <c r="A114" s="58" t="n">
        <v>2031</v>
      </c>
      <c r="B114" s="59">
        <f>C98</f>
        <v/>
      </c>
      <c r="C114" s="59">
        <f>SUM(D98:D103)</f>
        <v/>
      </c>
      <c r="D114" s="59">
        <f>SUM(E98:E103)</f>
        <v/>
      </c>
      <c r="E114" s="59">
        <f>F103</f>
        <v/>
      </c>
    </row>
    <row r="116">
      <c r="A116" s="1" t="inlineStr">
        <is>
          <t>Current Balance:</t>
        </is>
      </c>
      <c r="B116" s="60">
        <f>$B$7</f>
        <v/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69.xml><?xml version="1.0" encoding="utf-8"?>
<worksheet xmlns="http://schemas.openxmlformats.org/spreadsheetml/2006/main">
  <sheetPr>
    <tabColor rgb="00808080"/>
    <outlinePr summaryBelow="1" summaryRight="1"/>
    <pageSetUpPr/>
  </sheetPr>
  <dimension ref="A1:F52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6" customWidth="1" min="3" max="3"/>
    <col width="14" customWidth="1" min="4" max="4"/>
    <col width="14" customWidth="1" min="5" max="5"/>
    <col width="16" customWidth="1" min="6" max="6"/>
    <col width="14" customWidth="1" min="7" max="7"/>
  </cols>
  <sheetData>
    <row r="1">
      <c r="A1" s="51" t="inlineStr">
        <is>
          <t>LOAN DETAIL SHEET</t>
        </is>
      </c>
      <c r="B1" s="3" t="n"/>
      <c r="C1" s="3" t="n"/>
      <c r="D1" s="3" t="n"/>
      <c r="E1" s="3" t="n"/>
      <c r="F1" s="3" t="n"/>
    </row>
    <row r="2">
      <c r="A2" t="inlineStr">
        <is>
          <t>Lender:</t>
        </is>
      </c>
      <c r="B2" s="4" t="inlineStr">
        <is>
          <t>Balboa Capital</t>
        </is>
      </c>
    </row>
    <row r="3">
      <c r="A3" t="inlineStr">
        <is>
          <t>Loan ID:</t>
        </is>
      </c>
      <c r="B3" s="4" t="inlineStr">
        <is>
          <t>07-2910-000-000-00</t>
        </is>
      </c>
    </row>
    <row r="4">
      <c r="A4" t="inlineStr">
        <is>
          <t>Description:</t>
        </is>
      </c>
      <c r="B4" s="4" t="inlineStr">
        <is>
          <t>Racking for 1211 Rankin Warehouse</t>
        </is>
      </c>
    </row>
    <row r="5">
      <c r="A5" t="inlineStr">
        <is>
          <t>Collateral:</t>
        </is>
      </c>
      <c r="B5" s="4" t="inlineStr">
        <is>
          <t>Warehouse Racking - 1211 Rankin</t>
        </is>
      </c>
    </row>
    <row r="6">
      <c r="A6" t="inlineStr">
        <is>
          <t>Original Balance:</t>
        </is>
      </c>
      <c r="B6" s="5" t="n">
        <v>328902</v>
      </c>
    </row>
    <row r="7">
      <c r="A7" t="inlineStr">
        <is>
          <t>Balance 12/31/25:</t>
        </is>
      </c>
      <c r="B7" s="5" t="n">
        <v>145242</v>
      </c>
    </row>
    <row r="8">
      <c r="A8" t="inlineStr">
        <is>
          <t>Annual Rate:</t>
        </is>
      </c>
      <c r="B8" s="6" t="n">
        <v>0.0968</v>
      </c>
    </row>
    <row r="9">
      <c r="A9" t="inlineStr">
        <is>
          <t>Monthly Payment:</t>
        </is>
      </c>
      <c r="B9" s="5" t="n">
        <v>10502</v>
      </c>
    </row>
    <row r="10">
      <c r="A10" t="inlineStr">
        <is>
          <t>Maturity Date:</t>
        </is>
      </c>
      <c r="B10" s="52" t="n">
        <v>46179</v>
      </c>
    </row>
    <row r="12">
      <c r="A12" s="53" t="inlineStr">
        <is>
          <t>AI ANALYSIS</t>
        </is>
      </c>
      <c r="B12" s="9" t="n"/>
      <c r="C12" s="9" t="n"/>
      <c r="D12" s="9" t="n"/>
      <c r="E12" s="9" t="n"/>
      <c r="F12" s="9" t="n"/>
    </row>
    <row r="13">
      <c r="A13" s="9" t="inlineStr">
        <is>
          <t>Loan Type:</t>
        </is>
      </c>
      <c r="B13" s="9" t="inlineStr">
        <is>
          <t>AMORTIZING</t>
        </is>
      </c>
    </row>
    <row r="14">
      <c r="A14" s="9" t="inlineStr">
        <is>
          <t>Classification:</t>
        </is>
      </c>
      <c r="B14" s="9" t="inlineStr">
        <is>
          <t>Equipment Finance - Standard Amortization</t>
        </is>
      </c>
    </row>
    <row r="15">
      <c r="A15" s="9" t="inlineStr">
        <is>
          <t>Term (months):</t>
        </is>
      </c>
      <c r="B15" s="9" t="n">
        <v>25</v>
      </c>
    </row>
    <row r="16">
      <c r="A16" s="9" t="inlineStr">
        <is>
          <t>Months Remaining:</t>
        </is>
      </c>
      <c r="B16" s="9" t="n">
        <v>6</v>
      </c>
    </row>
    <row r="17">
      <c r="A17" s="9" t="inlineStr">
        <is>
          <t>Notes:</t>
        </is>
      </c>
      <c r="B17" s="9" t="inlineStr">
        <is>
          <t>Standard amortizing equipment loan secured by warehouse racking - 1211 rankin.</t>
        </is>
      </c>
    </row>
    <row r="19">
      <c r="A19" s="54" t="inlineStr">
        <is>
          <t>Month #</t>
        </is>
      </c>
      <c r="B19" s="54" t="inlineStr">
        <is>
          <t>Date</t>
        </is>
      </c>
      <c r="C19" s="54" t="inlineStr">
        <is>
          <t>Opening</t>
        </is>
      </c>
      <c r="D19" s="54" t="inlineStr">
        <is>
          <t>Interest</t>
        </is>
      </c>
      <c r="E19" s="54" t="inlineStr">
        <is>
          <t>Principal</t>
        </is>
      </c>
      <c r="F19" s="54" t="inlineStr">
        <is>
          <t>Closing</t>
        </is>
      </c>
    </row>
    <row r="20">
      <c r="A20" s="11" t="n">
        <v>1</v>
      </c>
      <c r="B20" s="33" t="n">
        <v>45449</v>
      </c>
      <c r="C20" s="13">
        <f>$B$6</f>
        <v/>
      </c>
      <c r="D20" s="13">
        <f>MAX(0,C20*$B$8/12)</f>
        <v/>
      </c>
      <c r="E20" s="13">
        <f>MAX(0,MIN(C20,$B$9-D20))</f>
        <v/>
      </c>
      <c r="F20" s="13">
        <f>MAX(0,C20-E20)</f>
        <v/>
      </c>
    </row>
    <row r="21">
      <c r="A21" s="11" t="n">
        <v>2</v>
      </c>
      <c r="B21" s="33" t="n">
        <v>45479</v>
      </c>
      <c r="C21" s="13">
        <f>F20</f>
        <v/>
      </c>
      <c r="D21" s="13">
        <f>MAX(0,C21*$B$8/12)</f>
        <v/>
      </c>
      <c r="E21" s="13">
        <f>MAX(0,MIN(C21,$B$9-D21))</f>
        <v/>
      </c>
      <c r="F21" s="13">
        <f>MAX(0,C21-E21)</f>
        <v/>
      </c>
    </row>
    <row r="22">
      <c r="A22" s="11" t="n">
        <v>3</v>
      </c>
      <c r="B22" s="33" t="n">
        <v>45510</v>
      </c>
      <c r="C22" s="13">
        <f>F21</f>
        <v/>
      </c>
      <c r="D22" s="13">
        <f>MAX(0,C22*$B$8/12)</f>
        <v/>
      </c>
      <c r="E22" s="13">
        <f>MAX(0,MIN(C22,$B$9-D22))</f>
        <v/>
      </c>
      <c r="F22" s="13">
        <f>MAX(0,C22-E22)</f>
        <v/>
      </c>
    </row>
    <row r="23">
      <c r="A23" s="11" t="n">
        <v>4</v>
      </c>
      <c r="B23" s="33" t="n">
        <v>45541</v>
      </c>
      <c r="C23" s="13">
        <f>F22</f>
        <v/>
      </c>
      <c r="D23" s="13">
        <f>MAX(0,C23*$B$8/12)</f>
        <v/>
      </c>
      <c r="E23" s="13">
        <f>MAX(0,MIN(C23,$B$9-D23))</f>
        <v/>
      </c>
      <c r="F23" s="13">
        <f>MAX(0,C23-E23)</f>
        <v/>
      </c>
    </row>
    <row r="24">
      <c r="A24" s="11" t="n">
        <v>5</v>
      </c>
      <c r="B24" s="33" t="n">
        <v>45571</v>
      </c>
      <c r="C24" s="13">
        <f>F23</f>
        <v/>
      </c>
      <c r="D24" s="13">
        <f>MAX(0,C24*$B$8/12)</f>
        <v/>
      </c>
      <c r="E24" s="13">
        <f>MAX(0,MIN(C24,$B$9-D24))</f>
        <v/>
      </c>
      <c r="F24" s="13">
        <f>MAX(0,C24-E24)</f>
        <v/>
      </c>
    </row>
    <row r="25">
      <c r="A25" s="11" t="n">
        <v>6</v>
      </c>
      <c r="B25" s="33" t="n">
        <v>45602</v>
      </c>
      <c r="C25" s="13">
        <f>F24</f>
        <v/>
      </c>
      <c r="D25" s="13">
        <f>MAX(0,C25*$B$8/12)</f>
        <v/>
      </c>
      <c r="E25" s="13">
        <f>MAX(0,MIN(C25,$B$9-D25))</f>
        <v/>
      </c>
      <c r="F25" s="13">
        <f>MAX(0,C25-E25)</f>
        <v/>
      </c>
    </row>
    <row r="26">
      <c r="A26" s="11" t="n">
        <v>7</v>
      </c>
      <c r="B26" s="33" t="n">
        <v>45632</v>
      </c>
      <c r="C26" s="13">
        <f>F25</f>
        <v/>
      </c>
      <c r="D26" s="13">
        <f>MAX(0,C26*$B$8/12)</f>
        <v/>
      </c>
      <c r="E26" s="13">
        <f>MAX(0,MIN(C26,$B$9-D26))</f>
        <v/>
      </c>
      <c r="F26" s="13">
        <f>MAX(0,C26-E26)</f>
        <v/>
      </c>
    </row>
    <row r="27">
      <c r="A27" s="11" t="n">
        <v>8</v>
      </c>
      <c r="B27" s="33" t="n">
        <v>45663</v>
      </c>
      <c r="C27" s="13">
        <f>F26</f>
        <v/>
      </c>
      <c r="D27" s="13">
        <f>MAX(0,C27*$B$8/12)</f>
        <v/>
      </c>
      <c r="E27" s="13">
        <f>MAX(0,MIN(C27,$B$9-D27))</f>
        <v/>
      </c>
      <c r="F27" s="13">
        <f>MAX(0,C27-E27)</f>
        <v/>
      </c>
    </row>
    <row r="28">
      <c r="A28" s="11" t="n">
        <v>9</v>
      </c>
      <c r="B28" s="33" t="n">
        <v>45694</v>
      </c>
      <c r="C28" s="13">
        <f>F27</f>
        <v/>
      </c>
      <c r="D28" s="13">
        <f>MAX(0,C28*$B$8/12)</f>
        <v/>
      </c>
      <c r="E28" s="13">
        <f>MAX(0,MIN(C28,$B$9-D28))</f>
        <v/>
      </c>
      <c r="F28" s="13">
        <f>MAX(0,C28-E28)</f>
        <v/>
      </c>
    </row>
    <row r="29">
      <c r="A29" s="11" t="n">
        <v>10</v>
      </c>
      <c r="B29" s="33" t="n">
        <v>45722</v>
      </c>
      <c r="C29" s="13">
        <f>F28</f>
        <v/>
      </c>
      <c r="D29" s="13">
        <f>MAX(0,C29*$B$8/12)</f>
        <v/>
      </c>
      <c r="E29" s="13">
        <f>MAX(0,MIN(C29,$B$9-D29))</f>
        <v/>
      </c>
      <c r="F29" s="13">
        <f>MAX(0,C29-E29)</f>
        <v/>
      </c>
    </row>
    <row r="30">
      <c r="A30" s="11" t="n">
        <v>11</v>
      </c>
      <c r="B30" s="33" t="n">
        <v>45753</v>
      </c>
      <c r="C30" s="13">
        <f>F29</f>
        <v/>
      </c>
      <c r="D30" s="13">
        <f>MAX(0,C30*$B$8/12)</f>
        <v/>
      </c>
      <c r="E30" s="13">
        <f>MAX(0,MIN(C30,$B$9-D30))</f>
        <v/>
      </c>
      <c r="F30" s="13">
        <f>MAX(0,C30-E30)</f>
        <v/>
      </c>
    </row>
    <row r="31">
      <c r="A31" s="11" t="n">
        <v>12</v>
      </c>
      <c r="B31" s="33" t="n">
        <v>45783</v>
      </c>
      <c r="C31" s="13">
        <f>F30</f>
        <v/>
      </c>
      <c r="D31" s="13">
        <f>MAX(0,C31*$B$8/12)</f>
        <v/>
      </c>
      <c r="E31" s="13">
        <f>MAX(0,MIN(C31,$B$9-D31))</f>
        <v/>
      </c>
      <c r="F31" s="13">
        <f>MAX(0,C31-E31)</f>
        <v/>
      </c>
    </row>
    <row r="32">
      <c r="A32" s="11" t="n">
        <v>13</v>
      </c>
      <c r="B32" s="33" t="n">
        <v>45814</v>
      </c>
      <c r="C32" s="13">
        <f>F31</f>
        <v/>
      </c>
      <c r="D32" s="13">
        <f>MAX(0,C32*$B$8/12)</f>
        <v/>
      </c>
      <c r="E32" s="13">
        <f>MAX(0,MIN(C32,$B$9-D32))</f>
        <v/>
      </c>
      <c r="F32" s="13">
        <f>MAX(0,C32-E32)</f>
        <v/>
      </c>
    </row>
    <row r="33">
      <c r="A33" s="11" t="n">
        <v>14</v>
      </c>
      <c r="B33" s="33" t="n">
        <v>45844</v>
      </c>
      <c r="C33" s="13">
        <f>F32</f>
        <v/>
      </c>
      <c r="D33" s="13">
        <f>MAX(0,C33*$B$8/12)</f>
        <v/>
      </c>
      <c r="E33" s="13">
        <f>MAX(0,MIN(C33,$B$9-D33))</f>
        <v/>
      </c>
      <c r="F33" s="13">
        <f>MAX(0,C33-E33)</f>
        <v/>
      </c>
    </row>
    <row r="34">
      <c r="A34" s="11" t="n">
        <v>15</v>
      </c>
      <c r="B34" s="33" t="n">
        <v>45875</v>
      </c>
      <c r="C34" s="13">
        <f>F33</f>
        <v/>
      </c>
      <c r="D34" s="13">
        <f>MAX(0,C34*$B$8/12)</f>
        <v/>
      </c>
      <c r="E34" s="13">
        <f>MAX(0,MIN(C34,$B$9-D34))</f>
        <v/>
      </c>
      <c r="F34" s="13">
        <f>MAX(0,C34-E34)</f>
        <v/>
      </c>
    </row>
    <row r="35">
      <c r="A35" s="11" t="n">
        <v>16</v>
      </c>
      <c r="B35" s="33" t="n">
        <v>45906</v>
      </c>
      <c r="C35" s="13">
        <f>F34</f>
        <v/>
      </c>
      <c r="D35" s="13">
        <f>MAX(0,C35*$B$8/12)</f>
        <v/>
      </c>
      <c r="E35" s="13">
        <f>MAX(0,MIN(C35,$B$9-D35))</f>
        <v/>
      </c>
      <c r="F35" s="13">
        <f>MAX(0,C35-E35)</f>
        <v/>
      </c>
    </row>
    <row r="36">
      <c r="A36" s="11" t="n">
        <v>17</v>
      </c>
      <c r="B36" s="33" t="n">
        <v>45936</v>
      </c>
      <c r="C36" s="13">
        <f>F35</f>
        <v/>
      </c>
      <c r="D36" s="13">
        <f>MAX(0,C36*$B$8/12)</f>
        <v/>
      </c>
      <c r="E36" s="13">
        <f>MAX(0,MIN(C36,$B$9-D36))</f>
        <v/>
      </c>
      <c r="F36" s="13">
        <f>MAX(0,C36-E36)</f>
        <v/>
      </c>
    </row>
    <row r="37">
      <c r="A37" s="11" t="n">
        <v>18</v>
      </c>
      <c r="B37" s="33" t="n">
        <v>45967</v>
      </c>
      <c r="C37" s="13">
        <f>F36</f>
        <v/>
      </c>
      <c r="D37" s="13">
        <f>MAX(0,C37*$B$8/12)</f>
        <v/>
      </c>
      <c r="E37" s="13">
        <f>MAX(0,MIN(C37,$B$9-D37))</f>
        <v/>
      </c>
      <c r="F37" s="13">
        <f>MAX(0,C37-E37)</f>
        <v/>
      </c>
    </row>
    <row r="38">
      <c r="A38" s="11" t="n">
        <v>19</v>
      </c>
      <c r="B38" s="33" t="n">
        <v>45997</v>
      </c>
      <c r="C38" s="13">
        <f>F37</f>
        <v/>
      </c>
      <c r="D38" s="13">
        <f>MAX(0,C38*$B$8/12)</f>
        <v/>
      </c>
      <c r="E38" s="13">
        <f>MAX(0,MIN(C38,$B$9-D38))</f>
        <v/>
      </c>
      <c r="F38" s="13">
        <f>MAX(0,C38-E38)</f>
        <v/>
      </c>
    </row>
    <row r="39">
      <c r="A39" s="11" t="n">
        <v>20</v>
      </c>
      <c r="B39" s="33" t="n">
        <v>46028</v>
      </c>
      <c r="C39" s="13">
        <f>F38</f>
        <v/>
      </c>
      <c r="D39" s="13">
        <f>MAX(0,C39*$B$8/12)</f>
        <v/>
      </c>
      <c r="E39" s="13">
        <f>MAX(0,MIN(C39,$B$9-D39))</f>
        <v/>
      </c>
      <c r="F39" s="13">
        <f>MAX(0,C39-E39)</f>
        <v/>
      </c>
    </row>
    <row r="40">
      <c r="A40" s="11" t="n">
        <v>21</v>
      </c>
      <c r="B40" s="33" t="n">
        <v>46059</v>
      </c>
      <c r="C40" s="13">
        <f>F39</f>
        <v/>
      </c>
      <c r="D40" s="13">
        <f>MAX(0,C40*$B$8/12)</f>
        <v/>
      </c>
      <c r="E40" s="13">
        <f>MAX(0,MIN(C40,$B$9-D40))</f>
        <v/>
      </c>
      <c r="F40" s="13">
        <f>MAX(0,C40-E40)</f>
        <v/>
      </c>
    </row>
    <row r="41">
      <c r="A41" s="11" t="n">
        <v>22</v>
      </c>
      <c r="B41" s="33" t="n">
        <v>46087</v>
      </c>
      <c r="C41" s="13">
        <f>F40</f>
        <v/>
      </c>
      <c r="D41" s="13">
        <f>MAX(0,C41*$B$8/12)</f>
        <v/>
      </c>
      <c r="E41" s="13">
        <f>MAX(0,MIN(C41,$B$9-D41))</f>
        <v/>
      </c>
      <c r="F41" s="13">
        <f>MAX(0,C41-E41)</f>
        <v/>
      </c>
    </row>
    <row r="42">
      <c r="A42" s="11" t="n">
        <v>23</v>
      </c>
      <c r="B42" s="33" t="n">
        <v>46118</v>
      </c>
      <c r="C42" s="13">
        <f>F41</f>
        <v/>
      </c>
      <c r="D42" s="13">
        <f>MAX(0,C42*$B$8/12)</f>
        <v/>
      </c>
      <c r="E42" s="13">
        <f>MAX(0,MIN(C42,$B$9-D42))</f>
        <v/>
      </c>
      <c r="F42" s="13">
        <f>MAX(0,C42-E42)</f>
        <v/>
      </c>
    </row>
    <row r="43">
      <c r="A43" s="11" t="n">
        <v>24</v>
      </c>
      <c r="B43" s="33" t="n">
        <v>46148</v>
      </c>
      <c r="C43" s="13">
        <f>F42</f>
        <v/>
      </c>
      <c r="D43" s="13">
        <f>MAX(0,C43*$B$8/12)</f>
        <v/>
      </c>
      <c r="E43" s="13">
        <f>MAX(0,MIN(C43,$B$9-D43))</f>
        <v/>
      </c>
      <c r="F43" s="13">
        <f>MAX(0,C43-E43)</f>
        <v/>
      </c>
    </row>
    <row r="44">
      <c r="A44" s="11" t="n">
        <v>25</v>
      </c>
      <c r="B44" s="33" t="n">
        <v>46179</v>
      </c>
      <c r="C44" s="13">
        <f>F43</f>
        <v/>
      </c>
      <c r="D44" s="13">
        <f>MAX(0,C44*$B$8/12)</f>
        <v/>
      </c>
      <c r="E44" s="13">
        <f>MAX(0,MIN(C44,$B$9-D44))</f>
        <v/>
      </c>
      <c r="F44" s="13">
        <f>MAX(0,C44-E44)</f>
        <v/>
      </c>
    </row>
    <row r="46">
      <c r="A46" s="55" t="inlineStr">
        <is>
          <t>ANNUAL SUMMARY</t>
        </is>
      </c>
      <c r="B46" s="56" t="n"/>
      <c r="C46" s="56" t="n"/>
      <c r="D46" s="56" t="n"/>
      <c r="E46" s="56" t="n"/>
      <c r="F46" s="56" t="n"/>
    </row>
    <row r="47">
      <c r="A47" s="57" t="inlineStr">
        <is>
          <t>Year</t>
        </is>
      </c>
      <c r="B47" s="57" t="inlineStr">
        <is>
          <t>Opening</t>
        </is>
      </c>
      <c r="C47" s="57" t="inlineStr">
        <is>
          <t>Interest</t>
        </is>
      </c>
      <c r="D47" s="57" t="inlineStr">
        <is>
          <t>Principal</t>
        </is>
      </c>
      <c r="E47" s="57" t="inlineStr">
        <is>
          <t>Closing</t>
        </is>
      </c>
    </row>
    <row r="48">
      <c r="A48" s="58" t="n">
        <v>2024</v>
      </c>
      <c r="B48" s="59">
        <f>C20</f>
        <v/>
      </c>
      <c r="C48" s="59">
        <f>SUM(D20:D26)</f>
        <v/>
      </c>
      <c r="D48" s="59">
        <f>SUM(E20:E26)</f>
        <v/>
      </c>
      <c r="E48" s="59">
        <f>F26</f>
        <v/>
      </c>
    </row>
    <row r="49">
      <c r="A49" s="58" t="n">
        <v>2025</v>
      </c>
      <c r="B49" s="59">
        <f>C27</f>
        <v/>
      </c>
      <c r="C49" s="59">
        <f>SUM(D27:D38)</f>
        <v/>
      </c>
      <c r="D49" s="59">
        <f>SUM(E27:E38)</f>
        <v/>
      </c>
      <c r="E49" s="59">
        <f>F38</f>
        <v/>
      </c>
    </row>
    <row r="50">
      <c r="A50" s="58" t="n">
        <v>2026</v>
      </c>
      <c r="B50" s="59">
        <f>C39</f>
        <v/>
      </c>
      <c r="C50" s="59">
        <f>SUM(D39:D44)</f>
        <v/>
      </c>
      <c r="D50" s="59">
        <f>SUM(E39:E44)</f>
        <v/>
      </c>
      <c r="E50" s="59">
        <f>F44</f>
        <v/>
      </c>
    </row>
    <row r="52">
      <c r="A52" s="1" t="inlineStr">
        <is>
          <t>Current Balance:</t>
        </is>
      </c>
      <c r="B52" s="60">
        <f>$B$7</f>
        <v/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tabColor rgb="00808080"/>
    <outlinePr summaryBelow="1" summaryRight="1"/>
    <pageSetUpPr/>
  </sheetPr>
  <dimension ref="A1:F41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2" t="inlineStr">
        <is>
          <t>LOAN DETAILS</t>
        </is>
      </c>
      <c r="B1" s="3" t="n"/>
      <c r="C1" s="3" t="n"/>
      <c r="D1" s="3" t="n"/>
      <c r="E1" s="3" t="n"/>
      <c r="F1" s="3" t="n"/>
    </row>
    <row r="2">
      <c r="A2" t="inlineStr">
        <is>
          <t>Lender</t>
        </is>
      </c>
      <c r="B2" s="4" t="inlineStr">
        <is>
          <t>Webster Capital Finance</t>
        </is>
      </c>
    </row>
    <row r="3">
      <c r="A3" t="inlineStr">
        <is>
          <t>Loan ID</t>
        </is>
      </c>
      <c r="B3" s="4" t="inlineStr">
        <is>
          <t>05-2939-000-000-00</t>
        </is>
      </c>
    </row>
    <row r="4">
      <c r="A4" t="inlineStr">
        <is>
          <t>Description</t>
        </is>
      </c>
      <c r="B4" s="4" t="inlineStr">
        <is>
          <t>25 Trailers</t>
        </is>
      </c>
    </row>
    <row r="5">
      <c r="A5" t="inlineStr">
        <is>
          <t>Collateral</t>
        </is>
      </c>
      <c r="B5" s="4" t="inlineStr">
        <is>
          <t>Equipment - Trailers</t>
        </is>
      </c>
    </row>
    <row r="6">
      <c r="A6" t="inlineStr">
        <is>
          <t>Current Balance</t>
        </is>
      </c>
      <c r="B6" s="5" t="n">
        <v>172804</v>
      </c>
    </row>
    <row r="7">
      <c r="A7" t="inlineStr">
        <is>
          <t>Annual Rate</t>
        </is>
      </c>
      <c r="B7" s="6" t="n">
        <v>0.0401</v>
      </c>
    </row>
    <row r="8">
      <c r="A8" t="inlineStr">
        <is>
          <t>Monthly Payment</t>
        </is>
      </c>
      <c r="B8" s="5" t="n">
        <v>13579</v>
      </c>
    </row>
    <row r="9">
      <c r="A9" t="inlineStr">
        <is>
          <t>Maturity Date</t>
        </is>
      </c>
      <c r="B9" s="17" t="n">
        <v>46389</v>
      </c>
    </row>
    <row r="10">
      <c r="A10" t="inlineStr">
        <is>
          <t>Loan Type</t>
        </is>
      </c>
      <c r="B10" s="4" t="inlineStr">
        <is>
          <t>AMORTIZING</t>
        </is>
      </c>
    </row>
    <row r="12">
      <c r="A12" s="8" t="inlineStr">
        <is>
          <t>AI ANALYSIS</t>
        </is>
      </c>
      <c r="B12" s="9" t="n"/>
      <c r="C12" s="9" t="n"/>
      <c r="D12" s="9" t="n"/>
      <c r="E12" s="9" t="n"/>
      <c r="F12" s="9" t="n"/>
    </row>
    <row r="13">
      <c r="A13" s="9" t="inlineStr">
        <is>
          <t>Loan Type:</t>
        </is>
      </c>
      <c r="B13" s="9" t="inlineStr">
        <is>
          <t>Standard amortizing equipment loan</t>
        </is>
      </c>
    </row>
    <row r="14">
      <c r="A14" s="9" t="inlineStr">
        <is>
          <t>Classification:</t>
        </is>
      </c>
      <c r="B14" s="9" t="inlineStr">
        <is>
          <t>Equipment - Trailers</t>
        </is>
      </c>
    </row>
    <row r="15">
      <c r="A15" s="9" t="inlineStr">
        <is>
          <t>Amortization:</t>
        </is>
      </c>
      <c r="B15" s="9" t="inlineStr">
        <is>
          <t>Fully amortizing, fixed monthly payments</t>
        </is>
      </c>
    </row>
    <row r="16">
      <c r="A16" s="9" t="inlineStr">
        <is>
          <t>Source Doc:</t>
        </is>
      </c>
      <c r="B16" s="9" t="inlineStr">
        <is>
          <t>Meiborg_Debt_Schedule_202512.xlsx, loans.md</t>
        </is>
      </c>
    </row>
    <row r="17">
      <c r="A17" s="9" t="inlineStr">
        <is>
          <t>Months Remaining:</t>
        </is>
      </c>
      <c r="B17" s="9" t="n">
        <v>13</v>
      </c>
    </row>
    <row r="18">
      <c r="A18" s="9" t="inlineStr">
        <is>
          <t>Model Start:</t>
        </is>
      </c>
      <c r="B18" s="9" t="inlineStr">
        <is>
          <t>January 2026 (balance as of 12/31/2025)</t>
        </is>
      </c>
    </row>
    <row r="19">
      <c r="A19" s="9" t="n"/>
      <c r="B19" s="9" t="n"/>
      <c r="C19" s="9" t="n"/>
      <c r="D19" s="9" t="n"/>
      <c r="E19" s="9" t="n"/>
      <c r="F19" s="9" t="n"/>
    </row>
    <row r="20">
      <c r="A20" s="9" t="n"/>
      <c r="B20" s="9" t="n"/>
      <c r="C20" s="9" t="n"/>
      <c r="D20" s="9" t="n"/>
      <c r="E20" s="9" t="n"/>
      <c r="F20" s="9" t="n"/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11" t="n">
        <v>1</v>
      </c>
      <c r="B23" s="18" t="n">
        <v>46023</v>
      </c>
      <c r="C23" s="13">
        <f>$B$6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11" t="n">
        <v>2</v>
      </c>
      <c r="B24" s="18" t="n">
        <v>46054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11" t="n">
        <v>3</v>
      </c>
      <c r="B25" s="18" t="n">
        <v>46082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11" t="n">
        <v>4</v>
      </c>
      <c r="B26" s="18" t="n">
        <v>46113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11" t="n">
        <v>5</v>
      </c>
      <c r="B27" s="18" t="n">
        <v>46143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11" t="n">
        <v>6</v>
      </c>
      <c r="B28" s="18" t="n">
        <v>46174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11" t="n">
        <v>7</v>
      </c>
      <c r="B29" s="18" t="n">
        <v>46204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11" t="n">
        <v>8</v>
      </c>
      <c r="B30" s="18" t="n">
        <v>46235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11" t="n">
        <v>9</v>
      </c>
      <c r="B31" s="18" t="n">
        <v>46266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11" t="n">
        <v>10</v>
      </c>
      <c r="B32" s="18" t="n">
        <v>46296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11" t="n">
        <v>11</v>
      </c>
      <c r="B33" s="18" t="n">
        <v>46327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4">
      <c r="A34" s="11" t="n">
        <v>12</v>
      </c>
      <c r="B34" s="18" t="n">
        <v>46357</v>
      </c>
      <c r="C34" s="13">
        <f>F33</f>
        <v/>
      </c>
      <c r="D34" s="13">
        <f>MAX(0,C34*$B$7/12)</f>
        <v/>
      </c>
      <c r="E34" s="13">
        <f>MAX(0,MIN(C34,$B$8-D34))</f>
        <v/>
      </c>
      <c r="F34" s="13">
        <f>MAX(0,C34-E34)</f>
        <v/>
      </c>
    </row>
    <row r="35">
      <c r="A35" s="11" t="n">
        <v>13</v>
      </c>
      <c r="B35" s="18" t="n">
        <v>46388</v>
      </c>
      <c r="C35" s="13">
        <f>F34</f>
        <v/>
      </c>
      <c r="D35" s="13">
        <f>MAX(0,C35*$B$7/12)</f>
        <v/>
      </c>
      <c r="E35" s="13">
        <f>MAX(0,MIN(C35,$B$8-D35))</f>
        <v/>
      </c>
      <c r="F35" s="13">
        <f>MAX(0,C35-E35)</f>
        <v/>
      </c>
    </row>
    <row r="38">
      <c r="A38" s="2" t="inlineStr">
        <is>
          <t>ANNUAL SUMMARY</t>
        </is>
      </c>
      <c r="B38" s="3" t="n"/>
      <c r="C38" s="3" t="n"/>
      <c r="D38" s="3" t="n"/>
      <c r="E38" s="3" t="n"/>
      <c r="F38" s="3" t="n"/>
    </row>
    <row r="39">
      <c r="A39" s="14" t="inlineStr">
        <is>
          <t>Year</t>
        </is>
      </c>
      <c r="B39" s="14" t="inlineStr"/>
      <c r="C39" s="14" t="inlineStr">
        <is>
          <t>Opening</t>
        </is>
      </c>
      <c r="D39" s="14" t="inlineStr">
        <is>
          <t>Interest</t>
        </is>
      </c>
      <c r="E39" s="14" t="inlineStr">
        <is>
          <t>Principal</t>
        </is>
      </c>
      <c r="F39" s="14" t="inlineStr">
        <is>
          <t>Closing</t>
        </is>
      </c>
    </row>
    <row r="40">
      <c r="A40" s="15" t="n">
        <v>2026</v>
      </c>
      <c r="B40" s="15" t="inlineStr"/>
      <c r="C40" s="16">
        <f>C23</f>
        <v/>
      </c>
      <c r="D40" s="16">
        <f>SUM(D23:D34)</f>
        <v/>
      </c>
      <c r="E40" s="16">
        <f>SUM(E23:E34)</f>
        <v/>
      </c>
      <c r="F40" s="16">
        <f>F34</f>
        <v/>
      </c>
    </row>
    <row r="41">
      <c r="A41" s="15" t="n">
        <v>2027</v>
      </c>
      <c r="B41" s="15" t="inlineStr"/>
      <c r="C41" s="16">
        <f>C35</f>
        <v/>
      </c>
      <c r="D41" s="16">
        <f>SUM(D35:D35)</f>
        <v/>
      </c>
      <c r="E41" s="16">
        <f>SUM(E35:E35)</f>
        <v/>
      </c>
      <c r="F41" s="16">
        <f>F35</f>
        <v/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70.xml><?xml version="1.0" encoding="utf-8"?>
<worksheet xmlns="http://schemas.openxmlformats.org/spreadsheetml/2006/main">
  <sheetPr>
    <tabColor rgb="00808080"/>
    <outlinePr summaryBelow="1" summaryRight="1"/>
    <pageSetUpPr/>
  </sheetPr>
  <dimension ref="A1:F37"/>
  <sheetViews>
    <sheetView workbookViewId="0">
      <selection activeCell="A1" sqref="A1"/>
    </sheetView>
  </sheetViews>
  <sheetFormatPr baseColWidth="8" defaultRowHeight="15"/>
  <cols>
    <col width="12" customWidth="1" min="1" max="1"/>
    <col width="2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LOAN ASSUMPTIONS</t>
        </is>
      </c>
    </row>
    <row r="2">
      <c r="A2" t="inlineStr">
        <is>
          <t>Lender</t>
        </is>
      </c>
      <c r="B2" s="4" t="inlineStr">
        <is>
          <t>Wells Fargo</t>
        </is>
      </c>
    </row>
    <row r="3">
      <c r="A3" t="inlineStr">
        <is>
          <t>Loan ID</t>
        </is>
      </c>
      <c r="B3" s="4" t="inlineStr">
        <is>
          <t>05-2942-000-000-00</t>
        </is>
      </c>
    </row>
    <row r="4">
      <c r="A4" t="inlineStr">
        <is>
          <t>Loan Number</t>
        </is>
      </c>
      <c r="B4" s="4" t="inlineStr">
        <is>
          <t>001-0412932-001</t>
        </is>
      </c>
    </row>
    <row r="5">
      <c r="A5" t="inlineStr">
        <is>
          <t>Description</t>
        </is>
      </c>
      <c r="B5" s="4" t="inlineStr">
        <is>
          <t>40 Trailers (Jun 2017)</t>
        </is>
      </c>
    </row>
    <row r="6">
      <c r="A6" t="inlineStr">
        <is>
          <t>Collateral</t>
        </is>
      </c>
      <c r="B6" s="4" t="inlineStr">
        <is>
          <t>Equipment - Trailers</t>
        </is>
      </c>
    </row>
    <row r="7">
      <c r="A7" t="inlineStr">
        <is>
          <t>Origination Date</t>
        </is>
      </c>
      <c r="B7" s="4" t="inlineStr">
        <is>
          <t>2017-06-21</t>
        </is>
      </c>
    </row>
    <row r="8">
      <c r="A8" t="inlineStr">
        <is>
          <t>Maturity Date</t>
        </is>
      </c>
      <c r="B8" s="4" t="inlineStr">
        <is>
          <t>2026-01-21</t>
        </is>
      </c>
    </row>
    <row r="9">
      <c r="A9" t="inlineStr">
        <is>
          <t>Original Balance</t>
        </is>
      </c>
      <c r="B9" s="26" t="n">
        <v>1414140</v>
      </c>
    </row>
    <row r="10">
      <c r="A10" t="inlineStr">
        <is>
          <t>Current Balance (12/31/2025)</t>
        </is>
      </c>
      <c r="B10" s="26" t="n">
        <v>44620</v>
      </c>
    </row>
    <row r="11">
      <c r="A11" t="inlineStr">
        <is>
          <t>Monthly Payment</t>
        </is>
      </c>
      <c r="B11" s="26" t="n">
        <v>16196</v>
      </c>
    </row>
    <row r="12">
      <c r="A12" t="inlineStr">
        <is>
          <t>Annual Interest Rate</t>
        </is>
      </c>
      <c r="B12" s="6" t="n">
        <v>0.0437</v>
      </c>
    </row>
    <row r="13">
      <c r="A13" t="inlineStr">
        <is>
          <t>Loan Type</t>
        </is>
      </c>
      <c r="B13" s="4" t="inlineStr">
        <is>
          <t>AMORTIZING</t>
        </is>
      </c>
    </row>
    <row r="15">
      <c r="A15" s="2" t="inlineStr">
        <is>
          <t>AI ANALYSIS</t>
        </is>
      </c>
    </row>
    <row r="16">
      <c r="A16" s="9" t="inlineStr">
        <is>
          <t>Loan Classification</t>
        </is>
      </c>
      <c r="B16" s="9" t="inlineStr">
        <is>
          <t>AMORTIZING - Equipment Finance</t>
        </is>
      </c>
    </row>
    <row r="17">
      <c r="A17" s="9" t="inlineStr">
        <is>
          <t>Months Remaining</t>
        </is>
      </c>
      <c r="B17" s="9" t="inlineStr">
        <is>
          <t>1 months</t>
        </is>
      </c>
    </row>
    <row r="18">
      <c r="A18" s="9" t="inlineStr">
        <is>
          <t>Amortization Method</t>
        </is>
      </c>
      <c r="B18" s="9" t="inlineStr">
        <is>
          <t>Standard monthly principal + interest</t>
        </is>
      </c>
    </row>
    <row r="19">
      <c r="A19" s="9" t="inlineStr">
        <is>
          <t>Notes</t>
        </is>
      </c>
      <c r="B19" s="9" t="inlineStr">
        <is>
          <t>Standard equipment loan, no special terms noted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21" t="n">
        <v>1</v>
      </c>
      <c r="B23" s="21" t="inlineStr">
        <is>
          <t>2026-01-01</t>
        </is>
      </c>
      <c r="C23" s="13">
        <f>$B$10</f>
        <v/>
      </c>
      <c r="D23" s="13">
        <f>MAX(0,C23*$B$12/12)</f>
        <v/>
      </c>
      <c r="E23" s="13">
        <f>MAX(0,MIN(C23,$B$11-D23))</f>
        <v/>
      </c>
      <c r="F23" s="13">
        <f>MAX(0,C23-E23)</f>
        <v/>
      </c>
    </row>
    <row r="24">
      <c r="A24" s="21" t="n">
        <v>2</v>
      </c>
      <c r="B24" s="21" t="inlineStr">
        <is>
          <t>2026-02-01</t>
        </is>
      </c>
      <c r="C24" s="13">
        <f>F23</f>
        <v/>
      </c>
      <c r="D24" s="13">
        <f>MAX(0,C24*$B$12/12)</f>
        <v/>
      </c>
      <c r="E24" s="13">
        <f>MAX(0,MIN(C24,$B$11-D24))</f>
        <v/>
      </c>
      <c r="F24" s="13">
        <f>MAX(0,C24-E24)</f>
        <v/>
      </c>
    </row>
    <row r="25">
      <c r="A25" s="21" t="n">
        <v>3</v>
      </c>
      <c r="B25" s="21" t="inlineStr">
        <is>
          <t>2026-03-01</t>
        </is>
      </c>
      <c r="C25" s="13">
        <f>F24</f>
        <v/>
      </c>
      <c r="D25" s="13">
        <f>MAX(0,C25*$B$12/12)</f>
        <v/>
      </c>
      <c r="E25" s="13">
        <f>MAX(0,MIN(C25,$B$11-D25))</f>
        <v/>
      </c>
      <c r="F25" s="13">
        <f>MAX(0,C25-E25)</f>
        <v/>
      </c>
    </row>
    <row r="26">
      <c r="A26" s="21" t="n">
        <v>4</v>
      </c>
      <c r="B26" s="21" t="inlineStr">
        <is>
          <t>2026-04-01</t>
        </is>
      </c>
      <c r="C26" s="13">
        <f>F25</f>
        <v/>
      </c>
      <c r="D26" s="13">
        <f>MAX(0,C26*$B$12/12)</f>
        <v/>
      </c>
      <c r="E26" s="13">
        <f>MAX(0,MIN(C26,$B$11-D26))</f>
        <v/>
      </c>
      <c r="F26" s="13">
        <f>MAX(0,C26-E26)</f>
        <v/>
      </c>
    </row>
    <row r="27">
      <c r="A27" s="21" t="n">
        <v>5</v>
      </c>
      <c r="B27" s="21" t="inlineStr">
        <is>
          <t>2026-05-01</t>
        </is>
      </c>
      <c r="C27" s="13">
        <f>F26</f>
        <v/>
      </c>
      <c r="D27" s="13">
        <f>MAX(0,C27*$B$12/12)</f>
        <v/>
      </c>
      <c r="E27" s="13">
        <f>MAX(0,MIN(C27,$B$11-D27))</f>
        <v/>
      </c>
      <c r="F27" s="13">
        <f>MAX(0,C27-E27)</f>
        <v/>
      </c>
    </row>
    <row r="28">
      <c r="A28" s="21" t="n">
        <v>6</v>
      </c>
      <c r="B28" s="21" t="inlineStr">
        <is>
          <t>2026-06-01</t>
        </is>
      </c>
      <c r="C28" s="13">
        <f>F27</f>
        <v/>
      </c>
      <c r="D28" s="13">
        <f>MAX(0,C28*$B$12/12)</f>
        <v/>
      </c>
      <c r="E28" s="13">
        <f>MAX(0,MIN(C28,$B$11-D28))</f>
        <v/>
      </c>
      <c r="F28" s="13">
        <f>MAX(0,C28-E28)</f>
        <v/>
      </c>
    </row>
    <row r="29">
      <c r="A29" s="21" t="n">
        <v>7</v>
      </c>
      <c r="B29" s="21" t="inlineStr">
        <is>
          <t>2026-07-01</t>
        </is>
      </c>
      <c r="C29" s="13">
        <f>F28</f>
        <v/>
      </c>
      <c r="D29" s="13">
        <f>MAX(0,C29*$B$12/12)</f>
        <v/>
      </c>
      <c r="E29" s="13">
        <f>MAX(0,MIN(C29,$B$11-D29))</f>
        <v/>
      </c>
      <c r="F29" s="13">
        <f>MAX(0,C29-E29)</f>
        <v/>
      </c>
    </row>
    <row r="32">
      <c r="A32" s="2" t="inlineStr">
        <is>
          <t>ANNUAL SUMMARY</t>
        </is>
      </c>
    </row>
    <row r="33">
      <c r="A33" s="30" t="inlineStr">
        <is>
          <t>Year</t>
        </is>
      </c>
      <c r="B33" s="30" t="inlineStr">
        <is>
          <t>Beginning Balance</t>
        </is>
      </c>
      <c r="C33" s="30" t="inlineStr">
        <is>
          <t>Total Interest</t>
        </is>
      </c>
      <c r="D33" s="30" t="inlineStr">
        <is>
          <t>Total Principal</t>
        </is>
      </c>
      <c r="E33" s="30" t="inlineStr">
        <is>
          <t>Ending Balance</t>
        </is>
      </c>
      <c r="F33" s="30" t="inlineStr"/>
    </row>
    <row r="34">
      <c r="A34" s="21" t="n">
        <v>2026</v>
      </c>
      <c r="B34" s="13">
        <f>C23</f>
        <v/>
      </c>
      <c r="C34" s="13">
        <f>SUM(D23:D29)</f>
        <v/>
      </c>
      <c r="D34" s="13">
        <f>SUM(E23:E29)</f>
        <v/>
      </c>
      <c r="E34" s="13">
        <f>F29</f>
        <v/>
      </c>
    </row>
    <row r="37">
      <c r="A37" t="inlineStr">
        <is>
          <t>Current Balance (link target)</t>
        </is>
      </c>
      <c r="B37" s="31">
        <f>$B$10</f>
        <v/>
      </c>
    </row>
  </sheetData>
  <mergeCells count="3">
    <mergeCell ref="A1:C1"/>
    <mergeCell ref="A32:F32"/>
    <mergeCell ref="A15:C15"/>
  </mergeCells>
  <pageMargins left="0.75" right="0.75" top="1" bottom="1" header="0.5" footer="0.5"/>
  <legacyDrawing xmlns:r="http://schemas.openxmlformats.org/officeDocument/2006/relationships" r:id="anysvml"/>
</worksheet>
</file>

<file path=xl/worksheets/sheet71.xml><?xml version="1.0" encoding="utf-8"?>
<worksheet xmlns="http://schemas.openxmlformats.org/spreadsheetml/2006/main">
  <sheetPr>
    <tabColor rgb="00808080"/>
    <outlinePr summaryBelow="1" summaryRight="1"/>
    <pageSetUpPr/>
  </sheetPr>
  <dimension ref="A1:F38"/>
  <sheetViews>
    <sheetView workbookViewId="0">
      <selection activeCell="A1" sqref="A1"/>
    </sheetView>
  </sheetViews>
  <sheetFormatPr baseColWidth="8" defaultRowHeight="15"/>
  <cols>
    <col width="12" customWidth="1" min="1" max="1"/>
    <col width="2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LOAN ASSUMPTIONS</t>
        </is>
      </c>
    </row>
    <row r="2">
      <c r="A2" t="inlineStr">
        <is>
          <t>Lender</t>
        </is>
      </c>
      <c r="B2" s="4" t="inlineStr">
        <is>
          <t>Wells Fargo</t>
        </is>
      </c>
    </row>
    <row r="3">
      <c r="A3" t="inlineStr">
        <is>
          <t>Loan ID</t>
        </is>
      </c>
      <c r="B3" s="4" t="inlineStr">
        <is>
          <t>05-2943-000-000-00</t>
        </is>
      </c>
    </row>
    <row r="4">
      <c r="A4" t="inlineStr">
        <is>
          <t>Loan Number</t>
        </is>
      </c>
      <c r="B4" s="4" t="inlineStr">
        <is>
          <t>001-0024599-000</t>
        </is>
      </c>
    </row>
    <row r="5">
      <c r="A5" t="inlineStr">
        <is>
          <t>Description</t>
        </is>
      </c>
      <c r="B5" s="4" t="inlineStr">
        <is>
          <t>35 Trailers (Jul 2017)</t>
        </is>
      </c>
    </row>
    <row r="6">
      <c r="A6" t="inlineStr">
        <is>
          <t>Collateral</t>
        </is>
      </c>
      <c r="B6" s="4" t="inlineStr">
        <is>
          <t>Equipment - Trailers</t>
        </is>
      </c>
    </row>
    <row r="7">
      <c r="A7" t="inlineStr">
        <is>
          <t>Origination Date</t>
        </is>
      </c>
      <c r="B7" s="4" t="inlineStr">
        <is>
          <t>2017-07-31</t>
        </is>
      </c>
    </row>
    <row r="8">
      <c r="A8" t="inlineStr">
        <is>
          <t>Maturity Date</t>
        </is>
      </c>
      <c r="B8" s="4" t="inlineStr">
        <is>
          <t>2026-02-28</t>
        </is>
      </c>
    </row>
    <row r="9">
      <c r="A9" t="inlineStr">
        <is>
          <t>Original Balance</t>
        </is>
      </c>
      <c r="B9" s="26" t="n">
        <v>1248367.75</v>
      </c>
    </row>
    <row r="10">
      <c r="A10" t="inlineStr">
        <is>
          <t>Current Balance (12/31/2025)</t>
        </is>
      </c>
      <c r="B10" s="26" t="n">
        <v>51120</v>
      </c>
    </row>
    <row r="11">
      <c r="A11" t="inlineStr">
        <is>
          <t>Monthly Payment</t>
        </is>
      </c>
      <c r="B11" s="26" t="n">
        <v>14086</v>
      </c>
    </row>
    <row r="12">
      <c r="A12" t="inlineStr">
        <is>
          <t>Annual Interest Rate</t>
        </is>
      </c>
      <c r="B12" s="6" t="n">
        <v>0.0437</v>
      </c>
    </row>
    <row r="13">
      <c r="A13" t="inlineStr">
        <is>
          <t>Loan Type</t>
        </is>
      </c>
      <c r="B13" s="4" t="inlineStr">
        <is>
          <t>AMORTIZING</t>
        </is>
      </c>
    </row>
    <row r="15">
      <c r="A15" s="2" t="inlineStr">
        <is>
          <t>AI ANALYSIS</t>
        </is>
      </c>
    </row>
    <row r="16">
      <c r="A16" s="9" t="inlineStr">
        <is>
          <t>Loan Classification</t>
        </is>
      </c>
      <c r="B16" s="9" t="inlineStr">
        <is>
          <t>AMORTIZING - Equipment Finance</t>
        </is>
      </c>
    </row>
    <row r="17">
      <c r="A17" s="9" t="inlineStr">
        <is>
          <t>Months Remaining</t>
        </is>
      </c>
      <c r="B17" s="9" t="inlineStr">
        <is>
          <t>2 months</t>
        </is>
      </c>
    </row>
    <row r="18">
      <c r="A18" s="9" t="inlineStr">
        <is>
          <t>Amortization Method</t>
        </is>
      </c>
      <c r="B18" s="9" t="inlineStr">
        <is>
          <t>Standard monthly principal + interest</t>
        </is>
      </c>
    </row>
    <row r="19">
      <c r="A19" s="9" t="inlineStr">
        <is>
          <t>Notes</t>
        </is>
      </c>
      <c r="B19" s="9" t="inlineStr">
        <is>
          <t>Standard equipment loan, no special terms noted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21" t="n">
        <v>1</v>
      </c>
      <c r="B23" s="21" t="inlineStr">
        <is>
          <t>2026-01-01</t>
        </is>
      </c>
      <c r="C23" s="13">
        <f>$B$10</f>
        <v/>
      </c>
      <c r="D23" s="13">
        <f>MAX(0,C23*$B$12/12)</f>
        <v/>
      </c>
      <c r="E23" s="13">
        <f>MAX(0,MIN(C23,$B$11-D23))</f>
        <v/>
      </c>
      <c r="F23" s="13">
        <f>MAX(0,C23-E23)</f>
        <v/>
      </c>
    </row>
    <row r="24">
      <c r="A24" s="21" t="n">
        <v>2</v>
      </c>
      <c r="B24" s="21" t="inlineStr">
        <is>
          <t>2026-02-01</t>
        </is>
      </c>
      <c r="C24" s="13">
        <f>F23</f>
        <v/>
      </c>
      <c r="D24" s="13">
        <f>MAX(0,C24*$B$12/12)</f>
        <v/>
      </c>
      <c r="E24" s="13">
        <f>MAX(0,MIN(C24,$B$11-D24))</f>
        <v/>
      </c>
      <c r="F24" s="13">
        <f>MAX(0,C24-E24)</f>
        <v/>
      </c>
    </row>
    <row r="25">
      <c r="A25" s="21" t="n">
        <v>3</v>
      </c>
      <c r="B25" s="21" t="inlineStr">
        <is>
          <t>2026-03-01</t>
        </is>
      </c>
      <c r="C25" s="13">
        <f>F24</f>
        <v/>
      </c>
      <c r="D25" s="13">
        <f>MAX(0,C25*$B$12/12)</f>
        <v/>
      </c>
      <c r="E25" s="13">
        <f>MAX(0,MIN(C25,$B$11-D25))</f>
        <v/>
      </c>
      <c r="F25" s="13">
        <f>MAX(0,C25-E25)</f>
        <v/>
      </c>
    </row>
    <row r="26">
      <c r="A26" s="21" t="n">
        <v>4</v>
      </c>
      <c r="B26" s="21" t="inlineStr">
        <is>
          <t>2026-04-01</t>
        </is>
      </c>
      <c r="C26" s="13">
        <f>F25</f>
        <v/>
      </c>
      <c r="D26" s="13">
        <f>MAX(0,C26*$B$12/12)</f>
        <v/>
      </c>
      <c r="E26" s="13">
        <f>MAX(0,MIN(C26,$B$11-D26))</f>
        <v/>
      </c>
      <c r="F26" s="13">
        <f>MAX(0,C26-E26)</f>
        <v/>
      </c>
    </row>
    <row r="27">
      <c r="A27" s="21" t="n">
        <v>5</v>
      </c>
      <c r="B27" s="21" t="inlineStr">
        <is>
          <t>2026-05-01</t>
        </is>
      </c>
      <c r="C27" s="13">
        <f>F26</f>
        <v/>
      </c>
      <c r="D27" s="13">
        <f>MAX(0,C27*$B$12/12)</f>
        <v/>
      </c>
      <c r="E27" s="13">
        <f>MAX(0,MIN(C27,$B$11-D27))</f>
        <v/>
      </c>
      <c r="F27" s="13">
        <f>MAX(0,C27-E27)</f>
        <v/>
      </c>
    </row>
    <row r="28">
      <c r="A28" s="21" t="n">
        <v>6</v>
      </c>
      <c r="B28" s="21" t="inlineStr">
        <is>
          <t>2026-06-01</t>
        </is>
      </c>
      <c r="C28" s="13">
        <f>F27</f>
        <v/>
      </c>
      <c r="D28" s="13">
        <f>MAX(0,C28*$B$12/12)</f>
        <v/>
      </c>
      <c r="E28" s="13">
        <f>MAX(0,MIN(C28,$B$11-D28))</f>
        <v/>
      </c>
      <c r="F28" s="13">
        <f>MAX(0,C28-E28)</f>
        <v/>
      </c>
    </row>
    <row r="29">
      <c r="A29" s="21" t="n">
        <v>7</v>
      </c>
      <c r="B29" s="21" t="inlineStr">
        <is>
          <t>2026-07-01</t>
        </is>
      </c>
      <c r="C29" s="13">
        <f>F28</f>
        <v/>
      </c>
      <c r="D29" s="13">
        <f>MAX(0,C29*$B$12/12)</f>
        <v/>
      </c>
      <c r="E29" s="13">
        <f>MAX(0,MIN(C29,$B$11-D29))</f>
        <v/>
      </c>
      <c r="F29" s="13">
        <f>MAX(0,C29-E29)</f>
        <v/>
      </c>
    </row>
    <row r="30">
      <c r="A30" s="21" t="n">
        <v>8</v>
      </c>
      <c r="B30" s="21" t="inlineStr">
        <is>
          <t>2026-08-01</t>
        </is>
      </c>
      <c r="C30" s="13">
        <f>F29</f>
        <v/>
      </c>
      <c r="D30" s="13">
        <f>MAX(0,C30*$B$12/12)</f>
        <v/>
      </c>
      <c r="E30" s="13">
        <f>MAX(0,MIN(C30,$B$11-D30))</f>
        <v/>
      </c>
      <c r="F30" s="13">
        <f>MAX(0,C30-E30)</f>
        <v/>
      </c>
    </row>
    <row r="33">
      <c r="A33" s="2" t="inlineStr">
        <is>
          <t>ANNUAL SUMMARY</t>
        </is>
      </c>
    </row>
    <row r="34">
      <c r="A34" s="30" t="inlineStr">
        <is>
          <t>Year</t>
        </is>
      </c>
      <c r="B34" s="30" t="inlineStr">
        <is>
          <t>Beginning Balance</t>
        </is>
      </c>
      <c r="C34" s="30" t="inlineStr">
        <is>
          <t>Total Interest</t>
        </is>
      </c>
      <c r="D34" s="30" t="inlineStr">
        <is>
          <t>Total Principal</t>
        </is>
      </c>
      <c r="E34" s="30" t="inlineStr">
        <is>
          <t>Ending Balance</t>
        </is>
      </c>
      <c r="F34" s="30" t="inlineStr"/>
    </row>
    <row r="35">
      <c r="A35" s="21" t="n">
        <v>2026</v>
      </c>
      <c r="B35" s="13">
        <f>C23</f>
        <v/>
      </c>
      <c r="C35" s="13">
        <f>SUM(D23:D30)</f>
        <v/>
      </c>
      <c r="D35" s="13">
        <f>SUM(E23:E30)</f>
        <v/>
      </c>
      <c r="E35" s="13">
        <f>F30</f>
        <v/>
      </c>
    </row>
    <row r="38">
      <c r="A38" t="inlineStr">
        <is>
          <t>Current Balance (link target)</t>
        </is>
      </c>
      <c r="B38" s="31">
        <f>$B$10</f>
        <v/>
      </c>
    </row>
  </sheetData>
  <mergeCells count="3">
    <mergeCell ref="A1:C1"/>
    <mergeCell ref="A33:F33"/>
    <mergeCell ref="A15:C15"/>
  </mergeCells>
  <pageMargins left="0.75" right="0.75" top="1" bottom="1" header="0.5" footer="0.5"/>
  <legacyDrawing xmlns:r="http://schemas.openxmlformats.org/officeDocument/2006/relationships" r:id="anysvml"/>
</worksheet>
</file>

<file path=xl/worksheets/sheet72.xml><?xml version="1.0" encoding="utf-8"?>
<worksheet xmlns="http://schemas.openxmlformats.org/spreadsheetml/2006/main">
  <sheetPr>
    <tabColor rgb="00808080"/>
    <outlinePr summaryBelow="1" summaryRight="1"/>
    <pageSetUpPr/>
  </sheetPr>
  <dimension ref="A1:F42"/>
  <sheetViews>
    <sheetView workbookViewId="0">
      <selection activeCell="A1" sqref="A1"/>
    </sheetView>
  </sheetViews>
  <sheetFormatPr baseColWidth="8" defaultRowHeight="15"/>
  <cols>
    <col width="12" customWidth="1" min="1" max="1"/>
    <col width="2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LOAN ASSUMPTIONS</t>
        </is>
      </c>
    </row>
    <row r="2">
      <c r="A2" t="inlineStr">
        <is>
          <t>Lender</t>
        </is>
      </c>
      <c r="B2" s="4" t="inlineStr">
        <is>
          <t>Wells Fargo</t>
        </is>
      </c>
    </row>
    <row r="3">
      <c r="A3" t="inlineStr">
        <is>
          <t>Loan ID</t>
        </is>
      </c>
      <c r="B3" s="4" t="inlineStr">
        <is>
          <t>05-2945-000-000-00</t>
        </is>
      </c>
    </row>
    <row r="4">
      <c r="A4" t="inlineStr">
        <is>
          <t>Loan Number</t>
        </is>
      </c>
      <c r="B4" s="4" t="inlineStr">
        <is>
          <t>412932-105</t>
        </is>
      </c>
    </row>
    <row r="5">
      <c r="A5" t="inlineStr">
        <is>
          <t>Description</t>
        </is>
      </c>
      <c r="B5" s="4" t="inlineStr">
        <is>
          <t>27 Trailers (Apr 2018)</t>
        </is>
      </c>
    </row>
    <row r="6">
      <c r="A6" t="inlineStr">
        <is>
          <t>Collateral</t>
        </is>
      </c>
      <c r="B6" s="4" t="inlineStr">
        <is>
          <t>Equipment - Trailers</t>
        </is>
      </c>
    </row>
    <row r="7">
      <c r="A7" t="inlineStr">
        <is>
          <t>Origination Date</t>
        </is>
      </c>
      <c r="B7" s="4" t="inlineStr">
        <is>
          <t>2018-04-13</t>
        </is>
      </c>
    </row>
    <row r="8">
      <c r="A8" t="inlineStr">
        <is>
          <t>Maturity Date</t>
        </is>
      </c>
      <c r="B8" s="4" t="inlineStr">
        <is>
          <t>2025-07-23</t>
        </is>
      </c>
    </row>
    <row r="9">
      <c r="A9" t="inlineStr">
        <is>
          <t>Original Balance</t>
        </is>
      </c>
      <c r="B9" s="26" t="n">
        <v>920656</v>
      </c>
    </row>
    <row r="10">
      <c r="A10" t="inlineStr">
        <is>
          <t>Current Balance (12/31/2025)</t>
        </is>
      </c>
      <c r="B10" s="26" t="n">
        <v>120721</v>
      </c>
    </row>
    <row r="11">
      <c r="A11" t="inlineStr">
        <is>
          <t>Monthly Payment</t>
        </is>
      </c>
      <c r="B11" s="26" t="n">
        <v>11128</v>
      </c>
    </row>
    <row r="12">
      <c r="A12" t="inlineStr">
        <is>
          <t>Annual Interest Rate</t>
        </is>
      </c>
      <c r="B12" s="6" t="n">
        <v>0.0472</v>
      </c>
    </row>
    <row r="13">
      <c r="A13" t="inlineStr">
        <is>
          <t>Loan Type</t>
        </is>
      </c>
      <c r="B13" s="4" t="inlineStr">
        <is>
          <t>AMORTIZING</t>
        </is>
      </c>
    </row>
    <row r="15">
      <c r="A15" s="2" t="inlineStr">
        <is>
          <t>AI ANALYSIS</t>
        </is>
      </c>
    </row>
    <row r="16">
      <c r="A16" s="9" t="inlineStr">
        <is>
          <t>Loan Classification</t>
        </is>
      </c>
      <c r="B16" s="9" t="inlineStr">
        <is>
          <t>AMORTIZING - Equipment Finance</t>
        </is>
      </c>
    </row>
    <row r="17">
      <c r="A17" s="9" t="inlineStr">
        <is>
          <t>Months Remaining</t>
        </is>
      </c>
      <c r="B17" s="9" t="inlineStr">
        <is>
          <t>0 months (past maturity)</t>
        </is>
      </c>
    </row>
    <row r="18">
      <c r="A18" s="9" t="inlineStr">
        <is>
          <t>Amortization Method</t>
        </is>
      </c>
      <c r="B18" s="9" t="inlineStr">
        <is>
          <t>Standard monthly principal + interest</t>
        </is>
      </c>
    </row>
    <row r="19">
      <c r="A19" s="9" t="inlineStr">
        <is>
          <t>Notes</t>
        </is>
      </c>
      <c r="B19" s="9" t="inlineStr">
        <is>
          <t>Past maturity date (07/23/2025) - treat as paid off soon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21" t="n">
        <v>1</v>
      </c>
      <c r="B23" s="21" t="inlineStr">
        <is>
          <t>2026-01-01</t>
        </is>
      </c>
      <c r="C23" s="13">
        <f>$B$10</f>
        <v/>
      </c>
      <c r="D23" s="13">
        <f>MAX(0,C23*$B$12/12)</f>
        <v/>
      </c>
      <c r="E23" s="13">
        <f>MAX(0,MIN(C23,$B$11-D23))</f>
        <v/>
      </c>
      <c r="F23" s="13">
        <f>MAX(0,C23-E23)</f>
        <v/>
      </c>
    </row>
    <row r="24">
      <c r="A24" s="21" t="n">
        <v>2</v>
      </c>
      <c r="B24" s="21" t="inlineStr">
        <is>
          <t>2026-02-01</t>
        </is>
      </c>
      <c r="C24" s="13">
        <f>F23</f>
        <v/>
      </c>
      <c r="D24" s="13">
        <f>MAX(0,C24*$B$12/12)</f>
        <v/>
      </c>
      <c r="E24" s="13">
        <f>MAX(0,MIN(C24,$B$11-D24))</f>
        <v/>
      </c>
      <c r="F24" s="13">
        <f>MAX(0,C24-E24)</f>
        <v/>
      </c>
    </row>
    <row r="25">
      <c r="A25" s="21" t="n">
        <v>3</v>
      </c>
      <c r="B25" s="21" t="inlineStr">
        <is>
          <t>2026-03-01</t>
        </is>
      </c>
      <c r="C25" s="13">
        <f>F24</f>
        <v/>
      </c>
      <c r="D25" s="13">
        <f>MAX(0,C25*$B$12/12)</f>
        <v/>
      </c>
      <c r="E25" s="13">
        <f>MAX(0,MIN(C25,$B$11-D25))</f>
        <v/>
      </c>
      <c r="F25" s="13">
        <f>MAX(0,C25-E25)</f>
        <v/>
      </c>
    </row>
    <row r="26">
      <c r="A26" s="21" t="n">
        <v>4</v>
      </c>
      <c r="B26" s="21" t="inlineStr">
        <is>
          <t>2026-04-01</t>
        </is>
      </c>
      <c r="C26" s="13">
        <f>F25</f>
        <v/>
      </c>
      <c r="D26" s="13">
        <f>MAX(0,C26*$B$12/12)</f>
        <v/>
      </c>
      <c r="E26" s="13">
        <f>MAX(0,MIN(C26,$B$11-D26))</f>
        <v/>
      </c>
      <c r="F26" s="13">
        <f>MAX(0,C26-E26)</f>
        <v/>
      </c>
    </row>
    <row r="27">
      <c r="A27" s="21" t="n">
        <v>5</v>
      </c>
      <c r="B27" s="21" t="inlineStr">
        <is>
          <t>2026-05-01</t>
        </is>
      </c>
      <c r="C27" s="13">
        <f>F26</f>
        <v/>
      </c>
      <c r="D27" s="13">
        <f>MAX(0,C27*$B$12/12)</f>
        <v/>
      </c>
      <c r="E27" s="13">
        <f>MAX(0,MIN(C27,$B$11-D27))</f>
        <v/>
      </c>
      <c r="F27" s="13">
        <f>MAX(0,C27-E27)</f>
        <v/>
      </c>
    </row>
    <row r="28">
      <c r="A28" s="21" t="n">
        <v>6</v>
      </c>
      <c r="B28" s="21" t="inlineStr">
        <is>
          <t>2026-06-01</t>
        </is>
      </c>
      <c r="C28" s="13">
        <f>F27</f>
        <v/>
      </c>
      <c r="D28" s="13">
        <f>MAX(0,C28*$B$12/12)</f>
        <v/>
      </c>
      <c r="E28" s="13">
        <f>MAX(0,MIN(C28,$B$11-D28))</f>
        <v/>
      </c>
      <c r="F28" s="13">
        <f>MAX(0,C28-E28)</f>
        <v/>
      </c>
    </row>
    <row r="29">
      <c r="A29" s="21" t="n">
        <v>7</v>
      </c>
      <c r="B29" s="21" t="inlineStr">
        <is>
          <t>2026-07-01</t>
        </is>
      </c>
      <c r="C29" s="13">
        <f>F28</f>
        <v/>
      </c>
      <c r="D29" s="13">
        <f>MAX(0,C29*$B$12/12)</f>
        <v/>
      </c>
      <c r="E29" s="13">
        <f>MAX(0,MIN(C29,$B$11-D29))</f>
        <v/>
      </c>
      <c r="F29" s="13">
        <f>MAX(0,C29-E29)</f>
        <v/>
      </c>
    </row>
    <row r="30">
      <c r="A30" s="21" t="n">
        <v>8</v>
      </c>
      <c r="B30" s="21" t="inlineStr">
        <is>
          <t>2026-08-01</t>
        </is>
      </c>
      <c r="C30" s="13">
        <f>F29</f>
        <v/>
      </c>
      <c r="D30" s="13">
        <f>MAX(0,C30*$B$12/12)</f>
        <v/>
      </c>
      <c r="E30" s="13">
        <f>MAX(0,MIN(C30,$B$11-D30))</f>
        <v/>
      </c>
      <c r="F30" s="13">
        <f>MAX(0,C30-E30)</f>
        <v/>
      </c>
    </row>
    <row r="31">
      <c r="A31" s="21" t="n">
        <v>9</v>
      </c>
      <c r="B31" s="21" t="inlineStr">
        <is>
          <t>2026-09-01</t>
        </is>
      </c>
      <c r="C31" s="13">
        <f>F30</f>
        <v/>
      </c>
      <c r="D31" s="13">
        <f>MAX(0,C31*$B$12/12)</f>
        <v/>
      </c>
      <c r="E31" s="13">
        <f>MAX(0,MIN(C31,$B$11-D31))</f>
        <v/>
      </c>
      <c r="F31" s="13">
        <f>MAX(0,C31-E31)</f>
        <v/>
      </c>
    </row>
    <row r="32">
      <c r="A32" s="21" t="n">
        <v>10</v>
      </c>
      <c r="B32" s="21" t="inlineStr">
        <is>
          <t>2026-10-01</t>
        </is>
      </c>
      <c r="C32" s="13">
        <f>F31</f>
        <v/>
      </c>
      <c r="D32" s="13">
        <f>MAX(0,C32*$B$12/12)</f>
        <v/>
      </c>
      <c r="E32" s="13">
        <f>MAX(0,MIN(C32,$B$11-D32))</f>
        <v/>
      </c>
      <c r="F32" s="13">
        <f>MAX(0,C32-E32)</f>
        <v/>
      </c>
    </row>
    <row r="33">
      <c r="A33" s="21" t="n">
        <v>11</v>
      </c>
      <c r="B33" s="21" t="inlineStr">
        <is>
          <t>2026-11-01</t>
        </is>
      </c>
      <c r="C33" s="13">
        <f>F32</f>
        <v/>
      </c>
      <c r="D33" s="13">
        <f>MAX(0,C33*$B$12/12)</f>
        <v/>
      </c>
      <c r="E33" s="13">
        <f>MAX(0,MIN(C33,$B$11-D33))</f>
        <v/>
      </c>
      <c r="F33" s="13">
        <f>MAX(0,C33-E33)</f>
        <v/>
      </c>
    </row>
    <row r="34">
      <c r="A34" s="21" t="n">
        <v>12</v>
      </c>
      <c r="B34" s="21" t="inlineStr">
        <is>
          <t>2026-12-01</t>
        </is>
      </c>
      <c r="C34" s="13">
        <f>F33</f>
        <v/>
      </c>
      <c r="D34" s="13">
        <f>MAX(0,C34*$B$12/12)</f>
        <v/>
      </c>
      <c r="E34" s="13">
        <f>MAX(0,MIN(C34,$B$11-D34))</f>
        <v/>
      </c>
      <c r="F34" s="13">
        <f>MAX(0,C34-E34)</f>
        <v/>
      </c>
    </row>
    <row r="37">
      <c r="A37" s="2" t="inlineStr">
        <is>
          <t>ANNUAL SUMMARY</t>
        </is>
      </c>
    </row>
    <row r="38">
      <c r="A38" s="30" t="inlineStr">
        <is>
          <t>Year</t>
        </is>
      </c>
      <c r="B38" s="30" t="inlineStr">
        <is>
          <t>Beginning Balance</t>
        </is>
      </c>
      <c r="C38" s="30" t="inlineStr">
        <is>
          <t>Total Interest</t>
        </is>
      </c>
      <c r="D38" s="30" t="inlineStr">
        <is>
          <t>Total Principal</t>
        </is>
      </c>
      <c r="E38" s="30" t="inlineStr">
        <is>
          <t>Ending Balance</t>
        </is>
      </c>
      <c r="F38" s="30" t="inlineStr"/>
    </row>
    <row r="39">
      <c r="A39" s="21" t="n">
        <v>2026</v>
      </c>
      <c r="B39" s="13">
        <f>C23</f>
        <v/>
      </c>
      <c r="C39" s="13">
        <f>SUM(D23:D34)</f>
        <v/>
      </c>
      <c r="D39" s="13">
        <f>SUM(E23:E34)</f>
        <v/>
      </c>
      <c r="E39" s="13">
        <f>F34</f>
        <v/>
      </c>
    </row>
    <row r="42">
      <c r="A42" t="inlineStr">
        <is>
          <t>Current Balance (link target)</t>
        </is>
      </c>
      <c r="B42" s="31">
        <f>$B$10</f>
        <v/>
      </c>
    </row>
  </sheetData>
  <mergeCells count="3">
    <mergeCell ref="A1:C1"/>
    <mergeCell ref="A37:F37"/>
    <mergeCell ref="A15:C15"/>
  </mergeCells>
  <pageMargins left="0.75" right="0.75" top="1" bottom="1" header="0.5" footer="0.5"/>
  <legacyDrawing xmlns:r="http://schemas.openxmlformats.org/officeDocument/2006/relationships" r:id="anysvml"/>
</worksheet>
</file>

<file path=xl/worksheets/sheet73.xml><?xml version="1.0" encoding="utf-8"?>
<worksheet xmlns="http://schemas.openxmlformats.org/spreadsheetml/2006/main">
  <sheetPr>
    <tabColor rgb="00808080"/>
    <outlinePr summaryBelow="1" summaryRight="1"/>
    <pageSetUpPr/>
  </sheetPr>
  <dimension ref="A1:F59"/>
  <sheetViews>
    <sheetView workbookViewId="0">
      <selection activeCell="A1" sqref="A1"/>
    </sheetView>
  </sheetViews>
  <sheetFormatPr baseColWidth="8" defaultRowHeight="15"/>
  <cols>
    <col width="12" customWidth="1" min="1" max="1"/>
    <col width="2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LOAN ASSUMPTIONS</t>
        </is>
      </c>
    </row>
    <row r="2">
      <c r="A2" t="inlineStr">
        <is>
          <t>Lender</t>
        </is>
      </c>
      <c r="B2" s="4" t="inlineStr">
        <is>
          <t>Huntington</t>
        </is>
      </c>
    </row>
    <row r="3">
      <c r="A3" t="inlineStr">
        <is>
          <t>Loan ID</t>
        </is>
      </c>
      <c r="B3" s="4" t="inlineStr">
        <is>
          <t>05-2961-001-000-00</t>
        </is>
      </c>
    </row>
    <row r="4">
      <c r="A4" t="inlineStr">
        <is>
          <t>Loan Number</t>
        </is>
      </c>
      <c r="B4" s="4" t="inlineStr">
        <is>
          <t>101-0014230-003</t>
        </is>
      </c>
    </row>
    <row r="5">
      <c r="A5" t="inlineStr">
        <is>
          <t>Description</t>
        </is>
      </c>
      <c r="B5" s="4" t="inlineStr">
        <is>
          <t>5 Sleepers (Mar 2022)</t>
        </is>
      </c>
    </row>
    <row r="6">
      <c r="A6" t="inlineStr">
        <is>
          <t>Collateral</t>
        </is>
      </c>
      <c r="B6" s="4" t="inlineStr">
        <is>
          <t>Equipment - Semi Trucks</t>
        </is>
      </c>
    </row>
    <row r="7">
      <c r="A7" t="inlineStr">
        <is>
          <t>Origination Date</t>
        </is>
      </c>
      <c r="B7" s="4" t="inlineStr">
        <is>
          <t>2022-03-03</t>
        </is>
      </c>
    </row>
    <row r="8">
      <c r="A8" t="inlineStr">
        <is>
          <t>Maturity Date</t>
        </is>
      </c>
      <c r="B8" s="4" t="inlineStr">
        <is>
          <t>2027-09-03</t>
        </is>
      </c>
    </row>
    <row r="9">
      <c r="A9" t="inlineStr">
        <is>
          <t>Original Balance</t>
        </is>
      </c>
      <c r="B9" s="26" t="n">
        <v>770340</v>
      </c>
    </row>
    <row r="10">
      <c r="A10" t="inlineStr">
        <is>
          <t>Current Balance (12/31/2025)</t>
        </is>
      </c>
      <c r="B10" s="26" t="n">
        <v>295418</v>
      </c>
    </row>
    <row r="11">
      <c r="A11" t="inlineStr">
        <is>
          <t>Monthly Payment</t>
        </is>
      </c>
      <c r="B11" s="26" t="n">
        <v>12716</v>
      </c>
    </row>
    <row r="12">
      <c r="A12" t="inlineStr">
        <is>
          <t>Annual Interest Rate</t>
        </is>
      </c>
      <c r="B12" s="6" t="n">
        <v>0.0307</v>
      </c>
    </row>
    <row r="13">
      <c r="A13" t="inlineStr">
        <is>
          <t>Loan Type</t>
        </is>
      </c>
      <c r="B13" s="4" t="inlineStr">
        <is>
          <t>AMORTIZING</t>
        </is>
      </c>
    </row>
    <row r="15">
      <c r="A15" s="2" t="inlineStr">
        <is>
          <t>AI ANALYSIS</t>
        </is>
      </c>
    </row>
    <row r="16">
      <c r="A16" s="9" t="inlineStr">
        <is>
          <t>Loan Classification</t>
        </is>
      </c>
      <c r="B16" s="9" t="inlineStr">
        <is>
          <t>AMORTIZING - Equipment Finance</t>
        </is>
      </c>
    </row>
    <row r="17">
      <c r="A17" s="9" t="inlineStr">
        <is>
          <t>Months Remaining</t>
        </is>
      </c>
      <c r="B17" s="9" t="inlineStr">
        <is>
          <t>21 months</t>
        </is>
      </c>
    </row>
    <row r="18">
      <c r="A18" s="9" t="inlineStr">
        <is>
          <t>Amortization Method</t>
        </is>
      </c>
      <c r="B18" s="9" t="inlineStr">
        <is>
          <t>Standard monthly principal + interest</t>
        </is>
      </c>
    </row>
    <row r="19">
      <c r="A19" s="9" t="inlineStr">
        <is>
          <t>Notes</t>
        </is>
      </c>
      <c r="B19" s="9" t="inlineStr">
        <is>
          <t>Standard equipment loan, no special terms noted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21" t="n">
        <v>1</v>
      </c>
      <c r="B23" s="21" t="inlineStr">
        <is>
          <t>2026-01-01</t>
        </is>
      </c>
      <c r="C23" s="13">
        <f>$B$10</f>
        <v/>
      </c>
      <c r="D23" s="13">
        <f>MAX(0,C23*$B$12/12)</f>
        <v/>
      </c>
      <c r="E23" s="13">
        <f>MAX(0,MIN(C23,$B$11-D23))</f>
        <v/>
      </c>
      <c r="F23" s="13">
        <f>MAX(0,C23-E23)</f>
        <v/>
      </c>
    </row>
    <row r="24">
      <c r="A24" s="21" t="n">
        <v>2</v>
      </c>
      <c r="B24" s="21" t="inlineStr">
        <is>
          <t>2026-02-01</t>
        </is>
      </c>
      <c r="C24" s="13">
        <f>F23</f>
        <v/>
      </c>
      <c r="D24" s="13">
        <f>MAX(0,C24*$B$12/12)</f>
        <v/>
      </c>
      <c r="E24" s="13">
        <f>MAX(0,MIN(C24,$B$11-D24))</f>
        <v/>
      </c>
      <c r="F24" s="13">
        <f>MAX(0,C24-E24)</f>
        <v/>
      </c>
    </row>
    <row r="25">
      <c r="A25" s="21" t="n">
        <v>3</v>
      </c>
      <c r="B25" s="21" t="inlineStr">
        <is>
          <t>2026-03-01</t>
        </is>
      </c>
      <c r="C25" s="13">
        <f>F24</f>
        <v/>
      </c>
      <c r="D25" s="13">
        <f>MAX(0,C25*$B$12/12)</f>
        <v/>
      </c>
      <c r="E25" s="13">
        <f>MAX(0,MIN(C25,$B$11-D25))</f>
        <v/>
      </c>
      <c r="F25" s="13">
        <f>MAX(0,C25-E25)</f>
        <v/>
      </c>
    </row>
    <row r="26">
      <c r="A26" s="21" t="n">
        <v>4</v>
      </c>
      <c r="B26" s="21" t="inlineStr">
        <is>
          <t>2026-04-01</t>
        </is>
      </c>
      <c r="C26" s="13">
        <f>F25</f>
        <v/>
      </c>
      <c r="D26" s="13">
        <f>MAX(0,C26*$B$12/12)</f>
        <v/>
      </c>
      <c r="E26" s="13">
        <f>MAX(0,MIN(C26,$B$11-D26))</f>
        <v/>
      </c>
      <c r="F26" s="13">
        <f>MAX(0,C26-E26)</f>
        <v/>
      </c>
    </row>
    <row r="27">
      <c r="A27" s="21" t="n">
        <v>5</v>
      </c>
      <c r="B27" s="21" t="inlineStr">
        <is>
          <t>2026-05-01</t>
        </is>
      </c>
      <c r="C27" s="13">
        <f>F26</f>
        <v/>
      </c>
      <c r="D27" s="13">
        <f>MAX(0,C27*$B$12/12)</f>
        <v/>
      </c>
      <c r="E27" s="13">
        <f>MAX(0,MIN(C27,$B$11-D27))</f>
        <v/>
      </c>
      <c r="F27" s="13">
        <f>MAX(0,C27-E27)</f>
        <v/>
      </c>
    </row>
    <row r="28">
      <c r="A28" s="21" t="n">
        <v>6</v>
      </c>
      <c r="B28" s="21" t="inlineStr">
        <is>
          <t>2026-06-01</t>
        </is>
      </c>
      <c r="C28" s="13">
        <f>F27</f>
        <v/>
      </c>
      <c r="D28" s="13">
        <f>MAX(0,C28*$B$12/12)</f>
        <v/>
      </c>
      <c r="E28" s="13">
        <f>MAX(0,MIN(C28,$B$11-D28))</f>
        <v/>
      </c>
      <c r="F28" s="13">
        <f>MAX(0,C28-E28)</f>
        <v/>
      </c>
    </row>
    <row r="29">
      <c r="A29" s="21" t="n">
        <v>7</v>
      </c>
      <c r="B29" s="21" t="inlineStr">
        <is>
          <t>2026-07-01</t>
        </is>
      </c>
      <c r="C29" s="13">
        <f>F28</f>
        <v/>
      </c>
      <c r="D29" s="13">
        <f>MAX(0,C29*$B$12/12)</f>
        <v/>
      </c>
      <c r="E29" s="13">
        <f>MAX(0,MIN(C29,$B$11-D29))</f>
        <v/>
      </c>
      <c r="F29" s="13">
        <f>MAX(0,C29-E29)</f>
        <v/>
      </c>
    </row>
    <row r="30">
      <c r="A30" s="21" t="n">
        <v>8</v>
      </c>
      <c r="B30" s="21" t="inlineStr">
        <is>
          <t>2026-08-01</t>
        </is>
      </c>
      <c r="C30" s="13">
        <f>F29</f>
        <v/>
      </c>
      <c r="D30" s="13">
        <f>MAX(0,C30*$B$12/12)</f>
        <v/>
      </c>
      <c r="E30" s="13">
        <f>MAX(0,MIN(C30,$B$11-D30))</f>
        <v/>
      </c>
      <c r="F30" s="13">
        <f>MAX(0,C30-E30)</f>
        <v/>
      </c>
    </row>
    <row r="31">
      <c r="A31" s="21" t="n">
        <v>9</v>
      </c>
      <c r="B31" s="21" t="inlineStr">
        <is>
          <t>2026-09-01</t>
        </is>
      </c>
      <c r="C31" s="13">
        <f>F30</f>
        <v/>
      </c>
      <c r="D31" s="13">
        <f>MAX(0,C31*$B$12/12)</f>
        <v/>
      </c>
      <c r="E31" s="13">
        <f>MAX(0,MIN(C31,$B$11-D31))</f>
        <v/>
      </c>
      <c r="F31" s="13">
        <f>MAX(0,C31-E31)</f>
        <v/>
      </c>
    </row>
    <row r="32">
      <c r="A32" s="21" t="n">
        <v>10</v>
      </c>
      <c r="B32" s="21" t="inlineStr">
        <is>
          <t>2026-10-01</t>
        </is>
      </c>
      <c r="C32" s="13">
        <f>F31</f>
        <v/>
      </c>
      <c r="D32" s="13">
        <f>MAX(0,C32*$B$12/12)</f>
        <v/>
      </c>
      <c r="E32" s="13">
        <f>MAX(0,MIN(C32,$B$11-D32))</f>
        <v/>
      </c>
      <c r="F32" s="13">
        <f>MAX(0,C32-E32)</f>
        <v/>
      </c>
    </row>
    <row r="33">
      <c r="A33" s="21" t="n">
        <v>11</v>
      </c>
      <c r="B33" s="21" t="inlineStr">
        <is>
          <t>2026-11-01</t>
        </is>
      </c>
      <c r="C33" s="13">
        <f>F32</f>
        <v/>
      </c>
      <c r="D33" s="13">
        <f>MAX(0,C33*$B$12/12)</f>
        <v/>
      </c>
      <c r="E33" s="13">
        <f>MAX(0,MIN(C33,$B$11-D33))</f>
        <v/>
      </c>
      <c r="F33" s="13">
        <f>MAX(0,C33-E33)</f>
        <v/>
      </c>
    </row>
    <row r="34">
      <c r="A34" s="21" t="n">
        <v>12</v>
      </c>
      <c r="B34" s="21" t="inlineStr">
        <is>
          <t>2026-12-01</t>
        </is>
      </c>
      <c r="C34" s="13">
        <f>F33</f>
        <v/>
      </c>
      <c r="D34" s="13">
        <f>MAX(0,C34*$B$12/12)</f>
        <v/>
      </c>
      <c r="E34" s="13">
        <f>MAX(0,MIN(C34,$B$11-D34))</f>
        <v/>
      </c>
      <c r="F34" s="13">
        <f>MAX(0,C34-E34)</f>
        <v/>
      </c>
    </row>
    <row r="35">
      <c r="A35" s="21" t="n">
        <v>13</v>
      </c>
      <c r="B35" s="21" t="inlineStr">
        <is>
          <t>2027-01-01</t>
        </is>
      </c>
      <c r="C35" s="13">
        <f>F34</f>
        <v/>
      </c>
      <c r="D35" s="13">
        <f>MAX(0,C35*$B$12/12)</f>
        <v/>
      </c>
      <c r="E35" s="13">
        <f>MAX(0,MIN(C35,$B$11-D35))</f>
        <v/>
      </c>
      <c r="F35" s="13">
        <f>MAX(0,C35-E35)</f>
        <v/>
      </c>
    </row>
    <row r="36">
      <c r="A36" s="21" t="n">
        <v>14</v>
      </c>
      <c r="B36" s="21" t="inlineStr">
        <is>
          <t>2027-02-01</t>
        </is>
      </c>
      <c r="C36" s="13">
        <f>F35</f>
        <v/>
      </c>
      <c r="D36" s="13">
        <f>MAX(0,C36*$B$12/12)</f>
        <v/>
      </c>
      <c r="E36" s="13">
        <f>MAX(0,MIN(C36,$B$11-D36))</f>
        <v/>
      </c>
      <c r="F36" s="13">
        <f>MAX(0,C36-E36)</f>
        <v/>
      </c>
    </row>
    <row r="37">
      <c r="A37" s="21" t="n">
        <v>15</v>
      </c>
      <c r="B37" s="21" t="inlineStr">
        <is>
          <t>2027-03-01</t>
        </is>
      </c>
      <c r="C37" s="13">
        <f>F36</f>
        <v/>
      </c>
      <c r="D37" s="13">
        <f>MAX(0,C37*$B$12/12)</f>
        <v/>
      </c>
      <c r="E37" s="13">
        <f>MAX(0,MIN(C37,$B$11-D37))</f>
        <v/>
      </c>
      <c r="F37" s="13">
        <f>MAX(0,C37-E37)</f>
        <v/>
      </c>
    </row>
    <row r="38">
      <c r="A38" s="21" t="n">
        <v>16</v>
      </c>
      <c r="B38" s="21" t="inlineStr">
        <is>
          <t>2027-04-01</t>
        </is>
      </c>
      <c r="C38" s="13">
        <f>F37</f>
        <v/>
      </c>
      <c r="D38" s="13">
        <f>MAX(0,C38*$B$12/12)</f>
        <v/>
      </c>
      <c r="E38" s="13">
        <f>MAX(0,MIN(C38,$B$11-D38))</f>
        <v/>
      </c>
      <c r="F38" s="13">
        <f>MAX(0,C38-E38)</f>
        <v/>
      </c>
    </row>
    <row r="39">
      <c r="A39" s="21" t="n">
        <v>17</v>
      </c>
      <c r="B39" s="21" t="inlineStr">
        <is>
          <t>2027-05-01</t>
        </is>
      </c>
      <c r="C39" s="13">
        <f>F38</f>
        <v/>
      </c>
      <c r="D39" s="13">
        <f>MAX(0,C39*$B$12/12)</f>
        <v/>
      </c>
      <c r="E39" s="13">
        <f>MAX(0,MIN(C39,$B$11-D39))</f>
        <v/>
      </c>
      <c r="F39" s="13">
        <f>MAX(0,C39-E39)</f>
        <v/>
      </c>
    </row>
    <row r="40">
      <c r="A40" s="21" t="n">
        <v>18</v>
      </c>
      <c r="B40" s="21" t="inlineStr">
        <is>
          <t>2027-06-01</t>
        </is>
      </c>
      <c r="C40" s="13">
        <f>F39</f>
        <v/>
      </c>
      <c r="D40" s="13">
        <f>MAX(0,C40*$B$12/12)</f>
        <v/>
      </c>
      <c r="E40" s="13">
        <f>MAX(0,MIN(C40,$B$11-D40))</f>
        <v/>
      </c>
      <c r="F40" s="13">
        <f>MAX(0,C40-E40)</f>
        <v/>
      </c>
    </row>
    <row r="41">
      <c r="A41" s="21" t="n">
        <v>19</v>
      </c>
      <c r="B41" s="21" t="inlineStr">
        <is>
          <t>2027-07-01</t>
        </is>
      </c>
      <c r="C41" s="13">
        <f>F40</f>
        <v/>
      </c>
      <c r="D41" s="13">
        <f>MAX(0,C41*$B$12/12)</f>
        <v/>
      </c>
      <c r="E41" s="13">
        <f>MAX(0,MIN(C41,$B$11-D41))</f>
        <v/>
      </c>
      <c r="F41" s="13">
        <f>MAX(0,C41-E41)</f>
        <v/>
      </c>
    </row>
    <row r="42">
      <c r="A42" s="21" t="n">
        <v>20</v>
      </c>
      <c r="B42" s="21" t="inlineStr">
        <is>
          <t>2027-08-01</t>
        </is>
      </c>
      <c r="C42" s="13">
        <f>F41</f>
        <v/>
      </c>
      <c r="D42" s="13">
        <f>MAX(0,C42*$B$12/12)</f>
        <v/>
      </c>
      <c r="E42" s="13">
        <f>MAX(0,MIN(C42,$B$11-D42))</f>
        <v/>
      </c>
      <c r="F42" s="13">
        <f>MAX(0,C42-E42)</f>
        <v/>
      </c>
    </row>
    <row r="43">
      <c r="A43" s="21" t="n">
        <v>21</v>
      </c>
      <c r="B43" s="21" t="inlineStr">
        <is>
          <t>2027-09-01</t>
        </is>
      </c>
      <c r="C43" s="13">
        <f>F42</f>
        <v/>
      </c>
      <c r="D43" s="13">
        <f>MAX(0,C43*$B$12/12)</f>
        <v/>
      </c>
      <c r="E43" s="13">
        <f>MAX(0,MIN(C43,$B$11-D43))</f>
        <v/>
      </c>
      <c r="F43" s="13">
        <f>MAX(0,C43-E43)</f>
        <v/>
      </c>
    </row>
    <row r="44">
      <c r="A44" s="21" t="n">
        <v>22</v>
      </c>
      <c r="B44" s="21" t="inlineStr">
        <is>
          <t>2027-10-01</t>
        </is>
      </c>
      <c r="C44" s="13">
        <f>F43</f>
        <v/>
      </c>
      <c r="D44" s="13">
        <f>MAX(0,C44*$B$12/12)</f>
        <v/>
      </c>
      <c r="E44" s="13">
        <f>MAX(0,MIN(C44,$B$11-D44))</f>
        <v/>
      </c>
      <c r="F44" s="13">
        <f>MAX(0,C44-E44)</f>
        <v/>
      </c>
    </row>
    <row r="45">
      <c r="A45" s="21" t="n">
        <v>23</v>
      </c>
      <c r="B45" s="21" t="inlineStr">
        <is>
          <t>2027-11-01</t>
        </is>
      </c>
      <c r="C45" s="13">
        <f>F44</f>
        <v/>
      </c>
      <c r="D45" s="13">
        <f>MAX(0,C45*$B$12/12)</f>
        <v/>
      </c>
      <c r="E45" s="13">
        <f>MAX(0,MIN(C45,$B$11-D45))</f>
        <v/>
      </c>
      <c r="F45" s="13">
        <f>MAX(0,C45-E45)</f>
        <v/>
      </c>
    </row>
    <row r="46">
      <c r="A46" s="21" t="n">
        <v>24</v>
      </c>
      <c r="B46" s="21" t="inlineStr">
        <is>
          <t>2027-12-01</t>
        </is>
      </c>
      <c r="C46" s="13">
        <f>F45</f>
        <v/>
      </c>
      <c r="D46" s="13">
        <f>MAX(0,C46*$B$12/12)</f>
        <v/>
      </c>
      <c r="E46" s="13">
        <f>MAX(0,MIN(C46,$B$11-D46))</f>
        <v/>
      </c>
      <c r="F46" s="13">
        <f>MAX(0,C46-E46)</f>
        <v/>
      </c>
    </row>
    <row r="47">
      <c r="A47" s="21" t="n">
        <v>25</v>
      </c>
      <c r="B47" s="21" t="inlineStr">
        <is>
          <t>2028-01-01</t>
        </is>
      </c>
      <c r="C47" s="13">
        <f>F46</f>
        <v/>
      </c>
      <c r="D47" s="13">
        <f>MAX(0,C47*$B$12/12)</f>
        <v/>
      </c>
      <c r="E47" s="13">
        <f>MAX(0,MIN(C47,$B$11-D47))</f>
        <v/>
      </c>
      <c r="F47" s="13">
        <f>MAX(0,C47-E47)</f>
        <v/>
      </c>
    </row>
    <row r="48">
      <c r="A48" s="21" t="n">
        <v>26</v>
      </c>
      <c r="B48" s="21" t="inlineStr">
        <is>
          <t>2028-02-01</t>
        </is>
      </c>
      <c r="C48" s="13">
        <f>F47</f>
        <v/>
      </c>
      <c r="D48" s="13">
        <f>MAX(0,C48*$B$12/12)</f>
        <v/>
      </c>
      <c r="E48" s="13">
        <f>MAX(0,MIN(C48,$B$11-D48))</f>
        <v/>
      </c>
      <c r="F48" s="13">
        <f>MAX(0,C48-E48)</f>
        <v/>
      </c>
    </row>
    <row r="49">
      <c r="A49" s="21" t="n">
        <v>27</v>
      </c>
      <c r="B49" s="21" t="inlineStr">
        <is>
          <t>2028-03-01</t>
        </is>
      </c>
      <c r="C49" s="13">
        <f>F48</f>
        <v/>
      </c>
      <c r="D49" s="13">
        <f>MAX(0,C49*$B$12/12)</f>
        <v/>
      </c>
      <c r="E49" s="13">
        <f>MAX(0,MIN(C49,$B$11-D49))</f>
        <v/>
      </c>
      <c r="F49" s="13">
        <f>MAX(0,C49-E49)</f>
        <v/>
      </c>
    </row>
    <row r="52">
      <c r="A52" s="2" t="inlineStr">
        <is>
          <t>ANNUAL SUMMARY</t>
        </is>
      </c>
    </row>
    <row r="53">
      <c r="A53" s="30" t="inlineStr">
        <is>
          <t>Year</t>
        </is>
      </c>
      <c r="B53" s="30" t="inlineStr">
        <is>
          <t>Beginning Balance</t>
        </is>
      </c>
      <c r="C53" s="30" t="inlineStr">
        <is>
          <t>Total Interest</t>
        </is>
      </c>
      <c r="D53" s="30" t="inlineStr">
        <is>
          <t>Total Principal</t>
        </is>
      </c>
      <c r="E53" s="30" t="inlineStr">
        <is>
          <t>Ending Balance</t>
        </is>
      </c>
      <c r="F53" s="30" t="inlineStr"/>
    </row>
    <row r="54">
      <c r="A54" s="21" t="n">
        <v>2026</v>
      </c>
      <c r="B54" s="13">
        <f>C23</f>
        <v/>
      </c>
      <c r="C54" s="13">
        <f>SUM(D23:D34)</f>
        <v/>
      </c>
      <c r="D54" s="13">
        <f>SUM(E23:E34)</f>
        <v/>
      </c>
      <c r="E54" s="13">
        <f>F34</f>
        <v/>
      </c>
    </row>
    <row r="55">
      <c r="A55" s="21" t="n">
        <v>2027</v>
      </c>
      <c r="B55" s="13">
        <f>C35</f>
        <v/>
      </c>
      <c r="C55" s="13">
        <f>SUM(D35:D46)</f>
        <v/>
      </c>
      <c r="D55" s="13">
        <f>SUM(E35:E46)</f>
        <v/>
      </c>
      <c r="E55" s="13">
        <f>F46</f>
        <v/>
      </c>
    </row>
    <row r="56">
      <c r="A56" s="21" t="n">
        <v>2028</v>
      </c>
      <c r="B56" s="13">
        <f>C47</f>
        <v/>
      </c>
      <c r="C56" s="13">
        <f>SUM(D47:D49)</f>
        <v/>
      </c>
      <c r="D56" s="13">
        <f>SUM(E47:E49)</f>
        <v/>
      </c>
      <c r="E56" s="13">
        <f>F49</f>
        <v/>
      </c>
    </row>
    <row r="59">
      <c r="A59" t="inlineStr">
        <is>
          <t>Current Balance (link target)</t>
        </is>
      </c>
      <c r="B59" s="31">
        <f>$B$10</f>
        <v/>
      </c>
    </row>
  </sheetData>
  <mergeCells count="3">
    <mergeCell ref="A1:C1"/>
    <mergeCell ref="A52:F52"/>
    <mergeCell ref="A15:C15"/>
  </mergeCells>
  <pageMargins left="0.75" right="0.75" top="1" bottom="1" header="0.5" footer="0.5"/>
  <legacyDrawing xmlns:r="http://schemas.openxmlformats.org/officeDocument/2006/relationships" r:id="anysvml"/>
</worksheet>
</file>

<file path=xl/worksheets/sheet74.xml><?xml version="1.0" encoding="utf-8"?>
<worksheet xmlns="http://schemas.openxmlformats.org/spreadsheetml/2006/main">
  <sheetPr>
    <tabColor rgb="00808080"/>
    <outlinePr summaryBelow="1" summaryRight="1"/>
    <pageSetUpPr/>
  </sheetPr>
  <dimension ref="A1:F78"/>
  <sheetViews>
    <sheetView workbookViewId="0">
      <selection activeCell="A1" sqref="A1"/>
    </sheetView>
  </sheetViews>
  <sheetFormatPr baseColWidth="8" defaultRowHeight="15"/>
  <cols>
    <col width="12" customWidth="1" min="1" max="1"/>
    <col width="2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LOAN ASSUMPTIONS</t>
        </is>
      </c>
    </row>
    <row r="2">
      <c r="A2" t="inlineStr">
        <is>
          <t>Lender</t>
        </is>
      </c>
      <c r="B2" s="4" t="inlineStr">
        <is>
          <t>Huntington</t>
        </is>
      </c>
    </row>
    <row r="3">
      <c r="A3" t="inlineStr">
        <is>
          <t>Loan ID</t>
        </is>
      </c>
      <c r="B3" s="4" t="inlineStr">
        <is>
          <t>05-2961-002-000-00</t>
        </is>
      </c>
    </row>
    <row r="4">
      <c r="A4" t="inlineStr">
        <is>
          <t>Loan Number</t>
        </is>
      </c>
      <c r="B4" s="4" t="inlineStr">
        <is>
          <t>101-0014230-004</t>
        </is>
      </c>
    </row>
    <row r="5">
      <c r="A5" t="inlineStr">
        <is>
          <t>Description</t>
        </is>
      </c>
      <c r="B5" s="4" t="inlineStr">
        <is>
          <t>25 Trailers (Mar 2022)</t>
        </is>
      </c>
    </row>
    <row r="6">
      <c r="A6" t="inlineStr">
        <is>
          <t>Collateral</t>
        </is>
      </c>
      <c r="B6" s="4" t="inlineStr">
        <is>
          <t>Equipment - Trailers</t>
        </is>
      </c>
    </row>
    <row r="7">
      <c r="A7" t="inlineStr">
        <is>
          <t>Origination Date</t>
        </is>
      </c>
      <c r="B7" s="4" t="inlineStr">
        <is>
          <t>2022-03-18</t>
        </is>
      </c>
    </row>
    <row r="8">
      <c r="A8" t="inlineStr">
        <is>
          <t>Maturity Date</t>
        </is>
      </c>
      <c r="B8" s="4" t="inlineStr">
        <is>
          <t>2029-03-17</t>
        </is>
      </c>
    </row>
    <row r="9">
      <c r="A9" t="inlineStr">
        <is>
          <t>Original Balance</t>
        </is>
      </c>
      <c r="B9" s="26" t="n">
        <v>1438050</v>
      </c>
    </row>
    <row r="10">
      <c r="A10" t="inlineStr">
        <is>
          <t>Current Balance (12/31/2025)</t>
        </is>
      </c>
      <c r="B10" s="26" t="n">
        <v>759381</v>
      </c>
    </row>
    <row r="11">
      <c r="A11" t="inlineStr">
        <is>
          <t>Monthly Payment</t>
        </is>
      </c>
      <c r="B11" s="26" t="n">
        <v>19137</v>
      </c>
    </row>
    <row r="12">
      <c r="A12" t="inlineStr">
        <is>
          <t>Annual Interest Rate</t>
        </is>
      </c>
      <c r="B12" s="6" t="n">
        <v>0.0316</v>
      </c>
    </row>
    <row r="13">
      <c r="A13" t="inlineStr">
        <is>
          <t>Loan Type</t>
        </is>
      </c>
      <c r="B13" s="4" t="inlineStr">
        <is>
          <t>AMORTIZING</t>
        </is>
      </c>
    </row>
    <row r="15">
      <c r="A15" s="2" t="inlineStr">
        <is>
          <t>AI ANALYSIS</t>
        </is>
      </c>
    </row>
    <row r="16">
      <c r="A16" s="9" t="inlineStr">
        <is>
          <t>Loan Classification</t>
        </is>
      </c>
      <c r="B16" s="9" t="inlineStr">
        <is>
          <t>AMORTIZING - Equipment Finance</t>
        </is>
      </c>
    </row>
    <row r="17">
      <c r="A17" s="9" t="inlineStr">
        <is>
          <t>Months Remaining</t>
        </is>
      </c>
      <c r="B17" s="9" t="inlineStr">
        <is>
          <t>39 months</t>
        </is>
      </c>
    </row>
    <row r="18">
      <c r="A18" s="9" t="inlineStr">
        <is>
          <t>Amortization Method</t>
        </is>
      </c>
      <c r="B18" s="9" t="inlineStr">
        <is>
          <t>Standard monthly principal + interest</t>
        </is>
      </c>
    </row>
    <row r="19">
      <c r="A19" s="9" t="inlineStr">
        <is>
          <t>Notes</t>
        </is>
      </c>
      <c r="B19" s="9" t="inlineStr">
        <is>
          <t>Standard equipment loan, no special terms noted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21" t="n">
        <v>1</v>
      </c>
      <c r="B23" s="21" t="inlineStr">
        <is>
          <t>2026-01-01</t>
        </is>
      </c>
      <c r="C23" s="13">
        <f>$B$10</f>
        <v/>
      </c>
      <c r="D23" s="13">
        <f>MAX(0,C23*$B$12/12)</f>
        <v/>
      </c>
      <c r="E23" s="13">
        <f>MAX(0,MIN(C23,$B$11-D23))</f>
        <v/>
      </c>
      <c r="F23" s="13">
        <f>MAX(0,C23-E23)</f>
        <v/>
      </c>
    </row>
    <row r="24">
      <c r="A24" s="21" t="n">
        <v>2</v>
      </c>
      <c r="B24" s="21" t="inlineStr">
        <is>
          <t>2026-02-01</t>
        </is>
      </c>
      <c r="C24" s="13">
        <f>F23</f>
        <v/>
      </c>
      <c r="D24" s="13">
        <f>MAX(0,C24*$B$12/12)</f>
        <v/>
      </c>
      <c r="E24" s="13">
        <f>MAX(0,MIN(C24,$B$11-D24))</f>
        <v/>
      </c>
      <c r="F24" s="13">
        <f>MAX(0,C24-E24)</f>
        <v/>
      </c>
    </row>
    <row r="25">
      <c r="A25" s="21" t="n">
        <v>3</v>
      </c>
      <c r="B25" s="21" t="inlineStr">
        <is>
          <t>2026-03-01</t>
        </is>
      </c>
      <c r="C25" s="13">
        <f>F24</f>
        <v/>
      </c>
      <c r="D25" s="13">
        <f>MAX(0,C25*$B$12/12)</f>
        <v/>
      </c>
      <c r="E25" s="13">
        <f>MAX(0,MIN(C25,$B$11-D25))</f>
        <v/>
      </c>
      <c r="F25" s="13">
        <f>MAX(0,C25-E25)</f>
        <v/>
      </c>
    </row>
    <row r="26">
      <c r="A26" s="21" t="n">
        <v>4</v>
      </c>
      <c r="B26" s="21" t="inlineStr">
        <is>
          <t>2026-04-01</t>
        </is>
      </c>
      <c r="C26" s="13">
        <f>F25</f>
        <v/>
      </c>
      <c r="D26" s="13">
        <f>MAX(0,C26*$B$12/12)</f>
        <v/>
      </c>
      <c r="E26" s="13">
        <f>MAX(0,MIN(C26,$B$11-D26))</f>
        <v/>
      </c>
      <c r="F26" s="13">
        <f>MAX(0,C26-E26)</f>
        <v/>
      </c>
    </row>
    <row r="27">
      <c r="A27" s="21" t="n">
        <v>5</v>
      </c>
      <c r="B27" s="21" t="inlineStr">
        <is>
          <t>2026-05-01</t>
        </is>
      </c>
      <c r="C27" s="13">
        <f>F26</f>
        <v/>
      </c>
      <c r="D27" s="13">
        <f>MAX(0,C27*$B$12/12)</f>
        <v/>
      </c>
      <c r="E27" s="13">
        <f>MAX(0,MIN(C27,$B$11-D27))</f>
        <v/>
      </c>
      <c r="F27" s="13">
        <f>MAX(0,C27-E27)</f>
        <v/>
      </c>
    </row>
    <row r="28">
      <c r="A28" s="21" t="n">
        <v>6</v>
      </c>
      <c r="B28" s="21" t="inlineStr">
        <is>
          <t>2026-06-01</t>
        </is>
      </c>
      <c r="C28" s="13">
        <f>F27</f>
        <v/>
      </c>
      <c r="D28" s="13">
        <f>MAX(0,C28*$B$12/12)</f>
        <v/>
      </c>
      <c r="E28" s="13">
        <f>MAX(0,MIN(C28,$B$11-D28))</f>
        <v/>
      </c>
      <c r="F28" s="13">
        <f>MAX(0,C28-E28)</f>
        <v/>
      </c>
    </row>
    <row r="29">
      <c r="A29" s="21" t="n">
        <v>7</v>
      </c>
      <c r="B29" s="21" t="inlineStr">
        <is>
          <t>2026-07-01</t>
        </is>
      </c>
      <c r="C29" s="13">
        <f>F28</f>
        <v/>
      </c>
      <c r="D29" s="13">
        <f>MAX(0,C29*$B$12/12)</f>
        <v/>
      </c>
      <c r="E29" s="13">
        <f>MAX(0,MIN(C29,$B$11-D29))</f>
        <v/>
      </c>
      <c r="F29" s="13">
        <f>MAX(0,C29-E29)</f>
        <v/>
      </c>
    </row>
    <row r="30">
      <c r="A30" s="21" t="n">
        <v>8</v>
      </c>
      <c r="B30" s="21" t="inlineStr">
        <is>
          <t>2026-08-01</t>
        </is>
      </c>
      <c r="C30" s="13">
        <f>F29</f>
        <v/>
      </c>
      <c r="D30" s="13">
        <f>MAX(0,C30*$B$12/12)</f>
        <v/>
      </c>
      <c r="E30" s="13">
        <f>MAX(0,MIN(C30,$B$11-D30))</f>
        <v/>
      </c>
      <c r="F30" s="13">
        <f>MAX(0,C30-E30)</f>
        <v/>
      </c>
    </row>
    <row r="31">
      <c r="A31" s="21" t="n">
        <v>9</v>
      </c>
      <c r="B31" s="21" t="inlineStr">
        <is>
          <t>2026-09-01</t>
        </is>
      </c>
      <c r="C31" s="13">
        <f>F30</f>
        <v/>
      </c>
      <c r="D31" s="13">
        <f>MAX(0,C31*$B$12/12)</f>
        <v/>
      </c>
      <c r="E31" s="13">
        <f>MAX(0,MIN(C31,$B$11-D31))</f>
        <v/>
      </c>
      <c r="F31" s="13">
        <f>MAX(0,C31-E31)</f>
        <v/>
      </c>
    </row>
    <row r="32">
      <c r="A32" s="21" t="n">
        <v>10</v>
      </c>
      <c r="B32" s="21" t="inlineStr">
        <is>
          <t>2026-10-01</t>
        </is>
      </c>
      <c r="C32" s="13">
        <f>F31</f>
        <v/>
      </c>
      <c r="D32" s="13">
        <f>MAX(0,C32*$B$12/12)</f>
        <v/>
      </c>
      <c r="E32" s="13">
        <f>MAX(0,MIN(C32,$B$11-D32))</f>
        <v/>
      </c>
      <c r="F32" s="13">
        <f>MAX(0,C32-E32)</f>
        <v/>
      </c>
    </row>
    <row r="33">
      <c r="A33" s="21" t="n">
        <v>11</v>
      </c>
      <c r="B33" s="21" t="inlineStr">
        <is>
          <t>2026-11-01</t>
        </is>
      </c>
      <c r="C33" s="13">
        <f>F32</f>
        <v/>
      </c>
      <c r="D33" s="13">
        <f>MAX(0,C33*$B$12/12)</f>
        <v/>
      </c>
      <c r="E33" s="13">
        <f>MAX(0,MIN(C33,$B$11-D33))</f>
        <v/>
      </c>
      <c r="F33" s="13">
        <f>MAX(0,C33-E33)</f>
        <v/>
      </c>
    </row>
    <row r="34">
      <c r="A34" s="21" t="n">
        <v>12</v>
      </c>
      <c r="B34" s="21" t="inlineStr">
        <is>
          <t>2026-12-01</t>
        </is>
      </c>
      <c r="C34" s="13">
        <f>F33</f>
        <v/>
      </c>
      <c r="D34" s="13">
        <f>MAX(0,C34*$B$12/12)</f>
        <v/>
      </c>
      <c r="E34" s="13">
        <f>MAX(0,MIN(C34,$B$11-D34))</f>
        <v/>
      </c>
      <c r="F34" s="13">
        <f>MAX(0,C34-E34)</f>
        <v/>
      </c>
    </row>
    <row r="35">
      <c r="A35" s="21" t="n">
        <v>13</v>
      </c>
      <c r="B35" s="21" t="inlineStr">
        <is>
          <t>2027-01-01</t>
        </is>
      </c>
      <c r="C35" s="13">
        <f>F34</f>
        <v/>
      </c>
      <c r="D35" s="13">
        <f>MAX(0,C35*$B$12/12)</f>
        <v/>
      </c>
      <c r="E35" s="13">
        <f>MAX(0,MIN(C35,$B$11-D35))</f>
        <v/>
      </c>
      <c r="F35" s="13">
        <f>MAX(0,C35-E35)</f>
        <v/>
      </c>
    </row>
    <row r="36">
      <c r="A36" s="21" t="n">
        <v>14</v>
      </c>
      <c r="B36" s="21" t="inlineStr">
        <is>
          <t>2027-02-01</t>
        </is>
      </c>
      <c r="C36" s="13">
        <f>F35</f>
        <v/>
      </c>
      <c r="D36" s="13">
        <f>MAX(0,C36*$B$12/12)</f>
        <v/>
      </c>
      <c r="E36" s="13">
        <f>MAX(0,MIN(C36,$B$11-D36))</f>
        <v/>
      </c>
      <c r="F36" s="13">
        <f>MAX(0,C36-E36)</f>
        <v/>
      </c>
    </row>
    <row r="37">
      <c r="A37" s="21" t="n">
        <v>15</v>
      </c>
      <c r="B37" s="21" t="inlineStr">
        <is>
          <t>2027-03-01</t>
        </is>
      </c>
      <c r="C37" s="13">
        <f>F36</f>
        <v/>
      </c>
      <c r="D37" s="13">
        <f>MAX(0,C37*$B$12/12)</f>
        <v/>
      </c>
      <c r="E37" s="13">
        <f>MAX(0,MIN(C37,$B$11-D37))</f>
        <v/>
      </c>
      <c r="F37" s="13">
        <f>MAX(0,C37-E37)</f>
        <v/>
      </c>
    </row>
    <row r="38">
      <c r="A38" s="21" t="n">
        <v>16</v>
      </c>
      <c r="B38" s="21" t="inlineStr">
        <is>
          <t>2027-04-01</t>
        </is>
      </c>
      <c r="C38" s="13">
        <f>F37</f>
        <v/>
      </c>
      <c r="D38" s="13">
        <f>MAX(0,C38*$B$12/12)</f>
        <v/>
      </c>
      <c r="E38" s="13">
        <f>MAX(0,MIN(C38,$B$11-D38))</f>
        <v/>
      </c>
      <c r="F38" s="13">
        <f>MAX(0,C38-E38)</f>
        <v/>
      </c>
    </row>
    <row r="39">
      <c r="A39" s="21" t="n">
        <v>17</v>
      </c>
      <c r="B39" s="21" t="inlineStr">
        <is>
          <t>2027-05-01</t>
        </is>
      </c>
      <c r="C39" s="13">
        <f>F38</f>
        <v/>
      </c>
      <c r="D39" s="13">
        <f>MAX(0,C39*$B$12/12)</f>
        <v/>
      </c>
      <c r="E39" s="13">
        <f>MAX(0,MIN(C39,$B$11-D39))</f>
        <v/>
      </c>
      <c r="F39" s="13">
        <f>MAX(0,C39-E39)</f>
        <v/>
      </c>
    </row>
    <row r="40">
      <c r="A40" s="21" t="n">
        <v>18</v>
      </c>
      <c r="B40" s="21" t="inlineStr">
        <is>
          <t>2027-06-01</t>
        </is>
      </c>
      <c r="C40" s="13">
        <f>F39</f>
        <v/>
      </c>
      <c r="D40" s="13">
        <f>MAX(0,C40*$B$12/12)</f>
        <v/>
      </c>
      <c r="E40" s="13">
        <f>MAX(0,MIN(C40,$B$11-D40))</f>
        <v/>
      </c>
      <c r="F40" s="13">
        <f>MAX(0,C40-E40)</f>
        <v/>
      </c>
    </row>
    <row r="41">
      <c r="A41" s="21" t="n">
        <v>19</v>
      </c>
      <c r="B41" s="21" t="inlineStr">
        <is>
          <t>2027-07-01</t>
        </is>
      </c>
      <c r="C41" s="13">
        <f>F40</f>
        <v/>
      </c>
      <c r="D41" s="13">
        <f>MAX(0,C41*$B$12/12)</f>
        <v/>
      </c>
      <c r="E41" s="13">
        <f>MAX(0,MIN(C41,$B$11-D41))</f>
        <v/>
      </c>
      <c r="F41" s="13">
        <f>MAX(0,C41-E41)</f>
        <v/>
      </c>
    </row>
    <row r="42">
      <c r="A42" s="21" t="n">
        <v>20</v>
      </c>
      <c r="B42" s="21" t="inlineStr">
        <is>
          <t>2027-08-01</t>
        </is>
      </c>
      <c r="C42" s="13">
        <f>F41</f>
        <v/>
      </c>
      <c r="D42" s="13">
        <f>MAX(0,C42*$B$12/12)</f>
        <v/>
      </c>
      <c r="E42" s="13">
        <f>MAX(0,MIN(C42,$B$11-D42))</f>
        <v/>
      </c>
      <c r="F42" s="13">
        <f>MAX(0,C42-E42)</f>
        <v/>
      </c>
    </row>
    <row r="43">
      <c r="A43" s="21" t="n">
        <v>21</v>
      </c>
      <c r="B43" s="21" t="inlineStr">
        <is>
          <t>2027-09-01</t>
        </is>
      </c>
      <c r="C43" s="13">
        <f>F42</f>
        <v/>
      </c>
      <c r="D43" s="13">
        <f>MAX(0,C43*$B$12/12)</f>
        <v/>
      </c>
      <c r="E43" s="13">
        <f>MAX(0,MIN(C43,$B$11-D43))</f>
        <v/>
      </c>
      <c r="F43" s="13">
        <f>MAX(0,C43-E43)</f>
        <v/>
      </c>
    </row>
    <row r="44">
      <c r="A44" s="21" t="n">
        <v>22</v>
      </c>
      <c r="B44" s="21" t="inlineStr">
        <is>
          <t>2027-10-01</t>
        </is>
      </c>
      <c r="C44" s="13">
        <f>F43</f>
        <v/>
      </c>
      <c r="D44" s="13">
        <f>MAX(0,C44*$B$12/12)</f>
        <v/>
      </c>
      <c r="E44" s="13">
        <f>MAX(0,MIN(C44,$B$11-D44))</f>
        <v/>
      </c>
      <c r="F44" s="13">
        <f>MAX(0,C44-E44)</f>
        <v/>
      </c>
    </row>
    <row r="45">
      <c r="A45" s="21" t="n">
        <v>23</v>
      </c>
      <c r="B45" s="21" t="inlineStr">
        <is>
          <t>2027-11-01</t>
        </is>
      </c>
      <c r="C45" s="13">
        <f>F44</f>
        <v/>
      </c>
      <c r="D45" s="13">
        <f>MAX(0,C45*$B$12/12)</f>
        <v/>
      </c>
      <c r="E45" s="13">
        <f>MAX(0,MIN(C45,$B$11-D45))</f>
        <v/>
      </c>
      <c r="F45" s="13">
        <f>MAX(0,C45-E45)</f>
        <v/>
      </c>
    </row>
    <row r="46">
      <c r="A46" s="21" t="n">
        <v>24</v>
      </c>
      <c r="B46" s="21" t="inlineStr">
        <is>
          <t>2027-12-01</t>
        </is>
      </c>
      <c r="C46" s="13">
        <f>F45</f>
        <v/>
      </c>
      <c r="D46" s="13">
        <f>MAX(0,C46*$B$12/12)</f>
        <v/>
      </c>
      <c r="E46" s="13">
        <f>MAX(0,MIN(C46,$B$11-D46))</f>
        <v/>
      </c>
      <c r="F46" s="13">
        <f>MAX(0,C46-E46)</f>
        <v/>
      </c>
    </row>
    <row r="47">
      <c r="A47" s="21" t="n">
        <v>25</v>
      </c>
      <c r="B47" s="21" t="inlineStr">
        <is>
          <t>2028-01-01</t>
        </is>
      </c>
      <c r="C47" s="13">
        <f>F46</f>
        <v/>
      </c>
      <c r="D47" s="13">
        <f>MAX(0,C47*$B$12/12)</f>
        <v/>
      </c>
      <c r="E47" s="13">
        <f>MAX(0,MIN(C47,$B$11-D47))</f>
        <v/>
      </c>
      <c r="F47" s="13">
        <f>MAX(0,C47-E47)</f>
        <v/>
      </c>
    </row>
    <row r="48">
      <c r="A48" s="21" t="n">
        <v>26</v>
      </c>
      <c r="B48" s="21" t="inlineStr">
        <is>
          <t>2028-02-01</t>
        </is>
      </c>
      <c r="C48" s="13">
        <f>F47</f>
        <v/>
      </c>
      <c r="D48" s="13">
        <f>MAX(0,C48*$B$12/12)</f>
        <v/>
      </c>
      <c r="E48" s="13">
        <f>MAX(0,MIN(C48,$B$11-D48))</f>
        <v/>
      </c>
      <c r="F48" s="13">
        <f>MAX(0,C48-E48)</f>
        <v/>
      </c>
    </row>
    <row r="49">
      <c r="A49" s="21" t="n">
        <v>27</v>
      </c>
      <c r="B49" s="21" t="inlineStr">
        <is>
          <t>2028-03-01</t>
        </is>
      </c>
      <c r="C49" s="13">
        <f>F48</f>
        <v/>
      </c>
      <c r="D49" s="13">
        <f>MAX(0,C49*$B$12/12)</f>
        <v/>
      </c>
      <c r="E49" s="13">
        <f>MAX(0,MIN(C49,$B$11-D49))</f>
        <v/>
      </c>
      <c r="F49" s="13">
        <f>MAX(0,C49-E49)</f>
        <v/>
      </c>
    </row>
    <row r="50">
      <c r="A50" s="21" t="n">
        <v>28</v>
      </c>
      <c r="B50" s="21" t="inlineStr">
        <is>
          <t>2028-04-01</t>
        </is>
      </c>
      <c r="C50" s="13">
        <f>F49</f>
        <v/>
      </c>
      <c r="D50" s="13">
        <f>MAX(0,C50*$B$12/12)</f>
        <v/>
      </c>
      <c r="E50" s="13">
        <f>MAX(0,MIN(C50,$B$11-D50))</f>
        <v/>
      </c>
      <c r="F50" s="13">
        <f>MAX(0,C50-E50)</f>
        <v/>
      </c>
    </row>
    <row r="51">
      <c r="A51" s="21" t="n">
        <v>29</v>
      </c>
      <c r="B51" s="21" t="inlineStr">
        <is>
          <t>2028-05-01</t>
        </is>
      </c>
      <c r="C51" s="13">
        <f>F50</f>
        <v/>
      </c>
      <c r="D51" s="13">
        <f>MAX(0,C51*$B$12/12)</f>
        <v/>
      </c>
      <c r="E51" s="13">
        <f>MAX(0,MIN(C51,$B$11-D51))</f>
        <v/>
      </c>
      <c r="F51" s="13">
        <f>MAX(0,C51-E51)</f>
        <v/>
      </c>
    </row>
    <row r="52">
      <c r="A52" s="21" t="n">
        <v>30</v>
      </c>
      <c r="B52" s="21" t="inlineStr">
        <is>
          <t>2028-06-01</t>
        </is>
      </c>
      <c r="C52" s="13">
        <f>F51</f>
        <v/>
      </c>
      <c r="D52" s="13">
        <f>MAX(0,C52*$B$12/12)</f>
        <v/>
      </c>
      <c r="E52" s="13">
        <f>MAX(0,MIN(C52,$B$11-D52))</f>
        <v/>
      </c>
      <c r="F52" s="13">
        <f>MAX(0,C52-E52)</f>
        <v/>
      </c>
    </row>
    <row r="53">
      <c r="A53" s="21" t="n">
        <v>31</v>
      </c>
      <c r="B53" s="21" t="inlineStr">
        <is>
          <t>2028-07-01</t>
        </is>
      </c>
      <c r="C53" s="13">
        <f>F52</f>
        <v/>
      </c>
      <c r="D53" s="13">
        <f>MAX(0,C53*$B$12/12)</f>
        <v/>
      </c>
      <c r="E53" s="13">
        <f>MAX(0,MIN(C53,$B$11-D53))</f>
        <v/>
      </c>
      <c r="F53" s="13">
        <f>MAX(0,C53-E53)</f>
        <v/>
      </c>
    </row>
    <row r="54">
      <c r="A54" s="21" t="n">
        <v>32</v>
      </c>
      <c r="B54" s="21" t="inlineStr">
        <is>
          <t>2028-08-01</t>
        </is>
      </c>
      <c r="C54" s="13">
        <f>F53</f>
        <v/>
      </c>
      <c r="D54" s="13">
        <f>MAX(0,C54*$B$12/12)</f>
        <v/>
      </c>
      <c r="E54" s="13">
        <f>MAX(0,MIN(C54,$B$11-D54))</f>
        <v/>
      </c>
      <c r="F54" s="13">
        <f>MAX(0,C54-E54)</f>
        <v/>
      </c>
    </row>
    <row r="55">
      <c r="A55" s="21" t="n">
        <v>33</v>
      </c>
      <c r="B55" s="21" t="inlineStr">
        <is>
          <t>2028-09-01</t>
        </is>
      </c>
      <c r="C55" s="13">
        <f>F54</f>
        <v/>
      </c>
      <c r="D55" s="13">
        <f>MAX(0,C55*$B$12/12)</f>
        <v/>
      </c>
      <c r="E55" s="13">
        <f>MAX(0,MIN(C55,$B$11-D55))</f>
        <v/>
      </c>
      <c r="F55" s="13">
        <f>MAX(0,C55-E55)</f>
        <v/>
      </c>
    </row>
    <row r="56">
      <c r="A56" s="21" t="n">
        <v>34</v>
      </c>
      <c r="B56" s="21" t="inlineStr">
        <is>
          <t>2028-10-01</t>
        </is>
      </c>
      <c r="C56" s="13">
        <f>F55</f>
        <v/>
      </c>
      <c r="D56" s="13">
        <f>MAX(0,C56*$B$12/12)</f>
        <v/>
      </c>
      <c r="E56" s="13">
        <f>MAX(0,MIN(C56,$B$11-D56))</f>
        <v/>
      </c>
      <c r="F56" s="13">
        <f>MAX(0,C56-E56)</f>
        <v/>
      </c>
    </row>
    <row r="57">
      <c r="A57" s="21" t="n">
        <v>35</v>
      </c>
      <c r="B57" s="21" t="inlineStr">
        <is>
          <t>2028-11-01</t>
        </is>
      </c>
      <c r="C57" s="13">
        <f>F56</f>
        <v/>
      </c>
      <c r="D57" s="13">
        <f>MAX(0,C57*$B$12/12)</f>
        <v/>
      </c>
      <c r="E57" s="13">
        <f>MAX(0,MIN(C57,$B$11-D57))</f>
        <v/>
      </c>
      <c r="F57" s="13">
        <f>MAX(0,C57-E57)</f>
        <v/>
      </c>
    </row>
    <row r="58">
      <c r="A58" s="21" t="n">
        <v>36</v>
      </c>
      <c r="B58" s="21" t="inlineStr">
        <is>
          <t>2028-12-01</t>
        </is>
      </c>
      <c r="C58" s="13">
        <f>F57</f>
        <v/>
      </c>
      <c r="D58" s="13">
        <f>MAX(0,C58*$B$12/12)</f>
        <v/>
      </c>
      <c r="E58" s="13">
        <f>MAX(0,MIN(C58,$B$11-D58))</f>
        <v/>
      </c>
      <c r="F58" s="13">
        <f>MAX(0,C58-E58)</f>
        <v/>
      </c>
    </row>
    <row r="59">
      <c r="A59" s="21" t="n">
        <v>37</v>
      </c>
      <c r="B59" s="21" t="inlineStr">
        <is>
          <t>2029-01-01</t>
        </is>
      </c>
      <c r="C59" s="13">
        <f>F58</f>
        <v/>
      </c>
      <c r="D59" s="13">
        <f>MAX(0,C59*$B$12/12)</f>
        <v/>
      </c>
      <c r="E59" s="13">
        <f>MAX(0,MIN(C59,$B$11-D59))</f>
        <v/>
      </c>
      <c r="F59" s="13">
        <f>MAX(0,C59-E59)</f>
        <v/>
      </c>
    </row>
    <row r="60">
      <c r="A60" s="21" t="n">
        <v>38</v>
      </c>
      <c r="B60" s="21" t="inlineStr">
        <is>
          <t>2029-02-01</t>
        </is>
      </c>
      <c r="C60" s="13">
        <f>F59</f>
        <v/>
      </c>
      <c r="D60" s="13">
        <f>MAX(0,C60*$B$12/12)</f>
        <v/>
      </c>
      <c r="E60" s="13">
        <f>MAX(0,MIN(C60,$B$11-D60))</f>
        <v/>
      </c>
      <c r="F60" s="13">
        <f>MAX(0,C60-E60)</f>
        <v/>
      </c>
    </row>
    <row r="61">
      <c r="A61" s="21" t="n">
        <v>39</v>
      </c>
      <c r="B61" s="21" t="inlineStr">
        <is>
          <t>2029-03-01</t>
        </is>
      </c>
      <c r="C61" s="13">
        <f>F60</f>
        <v/>
      </c>
      <c r="D61" s="13">
        <f>MAX(0,C61*$B$12/12)</f>
        <v/>
      </c>
      <c r="E61" s="13">
        <f>MAX(0,MIN(C61,$B$11-D61))</f>
        <v/>
      </c>
      <c r="F61" s="13">
        <f>MAX(0,C61-E61)</f>
        <v/>
      </c>
    </row>
    <row r="62">
      <c r="A62" s="21" t="n">
        <v>40</v>
      </c>
      <c r="B62" s="21" t="inlineStr">
        <is>
          <t>2029-04-01</t>
        </is>
      </c>
      <c r="C62" s="13">
        <f>F61</f>
        <v/>
      </c>
      <c r="D62" s="13">
        <f>MAX(0,C62*$B$12/12)</f>
        <v/>
      </c>
      <c r="E62" s="13">
        <f>MAX(0,MIN(C62,$B$11-D62))</f>
        <v/>
      </c>
      <c r="F62" s="13">
        <f>MAX(0,C62-E62)</f>
        <v/>
      </c>
    </row>
    <row r="63">
      <c r="A63" s="21" t="n">
        <v>41</v>
      </c>
      <c r="B63" s="21" t="inlineStr">
        <is>
          <t>2029-05-01</t>
        </is>
      </c>
      <c r="C63" s="13">
        <f>F62</f>
        <v/>
      </c>
      <c r="D63" s="13">
        <f>MAX(0,C63*$B$12/12)</f>
        <v/>
      </c>
      <c r="E63" s="13">
        <f>MAX(0,MIN(C63,$B$11-D63))</f>
        <v/>
      </c>
      <c r="F63" s="13">
        <f>MAX(0,C63-E63)</f>
        <v/>
      </c>
    </row>
    <row r="64">
      <c r="A64" s="21" t="n">
        <v>42</v>
      </c>
      <c r="B64" s="21" t="inlineStr">
        <is>
          <t>2029-06-01</t>
        </is>
      </c>
      <c r="C64" s="13">
        <f>F63</f>
        <v/>
      </c>
      <c r="D64" s="13">
        <f>MAX(0,C64*$B$12/12)</f>
        <v/>
      </c>
      <c r="E64" s="13">
        <f>MAX(0,MIN(C64,$B$11-D64))</f>
        <v/>
      </c>
      <c r="F64" s="13">
        <f>MAX(0,C64-E64)</f>
        <v/>
      </c>
    </row>
    <row r="65">
      <c r="A65" s="21" t="n">
        <v>43</v>
      </c>
      <c r="B65" s="21" t="inlineStr">
        <is>
          <t>2029-07-01</t>
        </is>
      </c>
      <c r="C65" s="13">
        <f>F64</f>
        <v/>
      </c>
      <c r="D65" s="13">
        <f>MAX(0,C65*$B$12/12)</f>
        <v/>
      </c>
      <c r="E65" s="13">
        <f>MAX(0,MIN(C65,$B$11-D65))</f>
        <v/>
      </c>
      <c r="F65" s="13">
        <f>MAX(0,C65-E65)</f>
        <v/>
      </c>
    </row>
    <row r="66">
      <c r="A66" s="21" t="n">
        <v>44</v>
      </c>
      <c r="B66" s="21" t="inlineStr">
        <is>
          <t>2029-08-01</t>
        </is>
      </c>
      <c r="C66" s="13">
        <f>F65</f>
        <v/>
      </c>
      <c r="D66" s="13">
        <f>MAX(0,C66*$B$12/12)</f>
        <v/>
      </c>
      <c r="E66" s="13">
        <f>MAX(0,MIN(C66,$B$11-D66))</f>
        <v/>
      </c>
      <c r="F66" s="13">
        <f>MAX(0,C66-E66)</f>
        <v/>
      </c>
    </row>
    <row r="67">
      <c r="A67" s="21" t="n">
        <v>45</v>
      </c>
      <c r="B67" s="21" t="inlineStr">
        <is>
          <t>2029-09-01</t>
        </is>
      </c>
      <c r="C67" s="13">
        <f>F66</f>
        <v/>
      </c>
      <c r="D67" s="13">
        <f>MAX(0,C67*$B$12/12)</f>
        <v/>
      </c>
      <c r="E67" s="13">
        <f>MAX(0,MIN(C67,$B$11-D67))</f>
        <v/>
      </c>
      <c r="F67" s="13">
        <f>MAX(0,C67-E67)</f>
        <v/>
      </c>
    </row>
    <row r="70">
      <c r="A70" s="2" t="inlineStr">
        <is>
          <t>ANNUAL SUMMARY</t>
        </is>
      </c>
    </row>
    <row r="71">
      <c r="A71" s="30" t="inlineStr">
        <is>
          <t>Year</t>
        </is>
      </c>
      <c r="B71" s="30" t="inlineStr">
        <is>
          <t>Beginning Balance</t>
        </is>
      </c>
      <c r="C71" s="30" t="inlineStr">
        <is>
          <t>Total Interest</t>
        </is>
      </c>
      <c r="D71" s="30" t="inlineStr">
        <is>
          <t>Total Principal</t>
        </is>
      </c>
      <c r="E71" s="30" t="inlineStr">
        <is>
          <t>Ending Balance</t>
        </is>
      </c>
      <c r="F71" s="30" t="inlineStr"/>
    </row>
    <row r="72">
      <c r="A72" s="21" t="n">
        <v>2026</v>
      </c>
      <c r="B72" s="13">
        <f>C23</f>
        <v/>
      </c>
      <c r="C72" s="13">
        <f>SUM(D23:D34)</f>
        <v/>
      </c>
      <c r="D72" s="13">
        <f>SUM(E23:E34)</f>
        <v/>
      </c>
      <c r="E72" s="13">
        <f>F34</f>
        <v/>
      </c>
    </row>
    <row r="73">
      <c r="A73" s="21" t="n">
        <v>2027</v>
      </c>
      <c r="B73" s="13">
        <f>C35</f>
        <v/>
      </c>
      <c r="C73" s="13">
        <f>SUM(D35:D46)</f>
        <v/>
      </c>
      <c r="D73" s="13">
        <f>SUM(E35:E46)</f>
        <v/>
      </c>
      <c r="E73" s="13">
        <f>F46</f>
        <v/>
      </c>
    </row>
    <row r="74">
      <c r="A74" s="21" t="n">
        <v>2028</v>
      </c>
      <c r="B74" s="13">
        <f>C47</f>
        <v/>
      </c>
      <c r="C74" s="13">
        <f>SUM(D47:D58)</f>
        <v/>
      </c>
      <c r="D74" s="13">
        <f>SUM(E47:E58)</f>
        <v/>
      </c>
      <c r="E74" s="13">
        <f>F58</f>
        <v/>
      </c>
    </row>
    <row r="75">
      <c r="A75" s="21" t="n">
        <v>2029</v>
      </c>
      <c r="B75" s="13">
        <f>C59</f>
        <v/>
      </c>
      <c r="C75" s="13">
        <f>SUM(D59:D67)</f>
        <v/>
      </c>
      <c r="D75" s="13">
        <f>SUM(E59:E67)</f>
        <v/>
      </c>
      <c r="E75" s="13">
        <f>F67</f>
        <v/>
      </c>
    </row>
    <row r="78">
      <c r="A78" t="inlineStr">
        <is>
          <t>Current Balance (link target)</t>
        </is>
      </c>
      <c r="B78" s="31">
        <f>$B$10</f>
        <v/>
      </c>
    </row>
  </sheetData>
  <mergeCells count="3">
    <mergeCell ref="A1:C1"/>
    <mergeCell ref="A70:F70"/>
    <mergeCell ref="A15:C15"/>
  </mergeCells>
  <pageMargins left="0.75" right="0.75" top="1" bottom="1" header="0.5" footer="0.5"/>
  <legacyDrawing xmlns:r="http://schemas.openxmlformats.org/officeDocument/2006/relationships" r:id="anysvml"/>
</worksheet>
</file>

<file path=xl/worksheets/sheet75.xml><?xml version="1.0" encoding="utf-8"?>
<worksheet xmlns="http://schemas.openxmlformats.org/spreadsheetml/2006/main">
  <sheetPr>
    <tabColor rgb="00808080"/>
    <outlinePr summaryBelow="1" summaryRight="1"/>
    <pageSetUpPr/>
  </sheetPr>
  <dimension ref="A1:F61"/>
  <sheetViews>
    <sheetView workbookViewId="0">
      <selection activeCell="A1" sqref="A1"/>
    </sheetView>
  </sheetViews>
  <sheetFormatPr baseColWidth="8" defaultRowHeight="15"/>
  <cols>
    <col width="12" customWidth="1" min="1" max="1"/>
    <col width="2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LOAN ASSUMPTIONS</t>
        </is>
      </c>
    </row>
    <row r="2">
      <c r="A2" t="inlineStr">
        <is>
          <t>Lender</t>
        </is>
      </c>
      <c r="B2" s="4" t="inlineStr">
        <is>
          <t>Huntington</t>
        </is>
      </c>
    </row>
    <row r="3">
      <c r="A3" t="inlineStr">
        <is>
          <t>Loan ID</t>
        </is>
      </c>
      <c r="B3" s="4" t="inlineStr">
        <is>
          <t>05-2961-003-000-00</t>
        </is>
      </c>
    </row>
    <row r="4">
      <c r="A4" t="inlineStr">
        <is>
          <t>Loan Number</t>
        </is>
      </c>
      <c r="B4" s="4" t="inlineStr">
        <is>
          <t>101-0014230-005</t>
        </is>
      </c>
    </row>
    <row r="5">
      <c r="A5" t="inlineStr">
        <is>
          <t>Description</t>
        </is>
      </c>
      <c r="B5" s="4" t="inlineStr">
        <is>
          <t>1 T880 DC &amp; 3 T680 SLPR (May 2022)</t>
        </is>
      </c>
    </row>
    <row r="6">
      <c r="A6" t="inlineStr">
        <is>
          <t>Collateral</t>
        </is>
      </c>
      <c r="B6" s="4" t="inlineStr">
        <is>
          <t>Equipment - Semi Trucks</t>
        </is>
      </c>
    </row>
    <row r="7">
      <c r="A7" t="inlineStr">
        <is>
          <t>Origination Date</t>
        </is>
      </c>
      <c r="B7" s="4" t="inlineStr">
        <is>
          <t>2022-05-03</t>
        </is>
      </c>
    </row>
    <row r="8">
      <c r="A8" t="inlineStr">
        <is>
          <t>Maturity Date</t>
        </is>
      </c>
      <c r="B8" s="4" t="inlineStr">
        <is>
          <t>2027-11-03</t>
        </is>
      </c>
    </row>
    <row r="9">
      <c r="A9" t="inlineStr">
        <is>
          <t>Original Balance</t>
        </is>
      </c>
      <c r="B9" s="26" t="n">
        <v>626090</v>
      </c>
    </row>
    <row r="10">
      <c r="A10" t="inlineStr">
        <is>
          <t>Current Balance (12/31/2025)</t>
        </is>
      </c>
      <c r="B10" s="26" t="n">
        <v>200328</v>
      </c>
    </row>
    <row r="11">
      <c r="A11" t="inlineStr">
        <is>
          <t>Monthly Payment</t>
        </is>
      </c>
      <c r="B11" s="26" t="n">
        <v>8078</v>
      </c>
    </row>
    <row r="12">
      <c r="A12" t="inlineStr">
        <is>
          <t>Annual Interest Rate</t>
        </is>
      </c>
      <c r="B12" s="6" t="n">
        <v>0.0414</v>
      </c>
    </row>
    <row r="13">
      <c r="A13" t="inlineStr">
        <is>
          <t>Loan Type</t>
        </is>
      </c>
      <c r="B13" s="4" t="inlineStr">
        <is>
          <t>AMORTIZING</t>
        </is>
      </c>
    </row>
    <row r="15">
      <c r="A15" s="2" t="inlineStr">
        <is>
          <t>AI ANALYSIS</t>
        </is>
      </c>
    </row>
    <row r="16">
      <c r="A16" s="9" t="inlineStr">
        <is>
          <t>Loan Classification</t>
        </is>
      </c>
      <c r="B16" s="9" t="inlineStr">
        <is>
          <t>AMORTIZING - Equipment Finance</t>
        </is>
      </c>
    </row>
    <row r="17">
      <c r="A17" s="9" t="inlineStr">
        <is>
          <t>Months Remaining</t>
        </is>
      </c>
      <c r="B17" s="9" t="inlineStr">
        <is>
          <t>23 months</t>
        </is>
      </c>
    </row>
    <row r="18">
      <c r="A18" s="9" t="inlineStr">
        <is>
          <t>Amortization Method</t>
        </is>
      </c>
      <c r="B18" s="9" t="inlineStr">
        <is>
          <t>Standard monthly principal + interest</t>
        </is>
      </c>
    </row>
    <row r="19">
      <c r="A19" s="9" t="inlineStr">
        <is>
          <t>Notes</t>
        </is>
      </c>
      <c r="B19" s="9" t="inlineStr">
        <is>
          <t>Standard equipment loan, no special terms noted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21" t="n">
        <v>1</v>
      </c>
      <c r="B23" s="21" t="inlineStr">
        <is>
          <t>2026-01-01</t>
        </is>
      </c>
      <c r="C23" s="13">
        <f>$B$10</f>
        <v/>
      </c>
      <c r="D23" s="13">
        <f>MAX(0,C23*$B$12/12)</f>
        <v/>
      </c>
      <c r="E23" s="13">
        <f>MAX(0,MIN(C23,$B$11-D23))</f>
        <v/>
      </c>
      <c r="F23" s="13">
        <f>MAX(0,C23-E23)</f>
        <v/>
      </c>
    </row>
    <row r="24">
      <c r="A24" s="21" t="n">
        <v>2</v>
      </c>
      <c r="B24" s="21" t="inlineStr">
        <is>
          <t>2026-02-01</t>
        </is>
      </c>
      <c r="C24" s="13">
        <f>F23</f>
        <v/>
      </c>
      <c r="D24" s="13">
        <f>MAX(0,C24*$B$12/12)</f>
        <v/>
      </c>
      <c r="E24" s="13">
        <f>MAX(0,MIN(C24,$B$11-D24))</f>
        <v/>
      </c>
      <c r="F24" s="13">
        <f>MAX(0,C24-E24)</f>
        <v/>
      </c>
    </row>
    <row r="25">
      <c r="A25" s="21" t="n">
        <v>3</v>
      </c>
      <c r="B25" s="21" t="inlineStr">
        <is>
          <t>2026-03-01</t>
        </is>
      </c>
      <c r="C25" s="13">
        <f>F24</f>
        <v/>
      </c>
      <c r="D25" s="13">
        <f>MAX(0,C25*$B$12/12)</f>
        <v/>
      </c>
      <c r="E25" s="13">
        <f>MAX(0,MIN(C25,$B$11-D25))</f>
        <v/>
      </c>
      <c r="F25" s="13">
        <f>MAX(0,C25-E25)</f>
        <v/>
      </c>
    </row>
    <row r="26">
      <c r="A26" s="21" t="n">
        <v>4</v>
      </c>
      <c r="B26" s="21" t="inlineStr">
        <is>
          <t>2026-04-01</t>
        </is>
      </c>
      <c r="C26" s="13">
        <f>F25</f>
        <v/>
      </c>
      <c r="D26" s="13">
        <f>MAX(0,C26*$B$12/12)</f>
        <v/>
      </c>
      <c r="E26" s="13">
        <f>MAX(0,MIN(C26,$B$11-D26))</f>
        <v/>
      </c>
      <c r="F26" s="13">
        <f>MAX(0,C26-E26)</f>
        <v/>
      </c>
    </row>
    <row r="27">
      <c r="A27" s="21" t="n">
        <v>5</v>
      </c>
      <c r="B27" s="21" t="inlineStr">
        <is>
          <t>2026-05-01</t>
        </is>
      </c>
      <c r="C27" s="13">
        <f>F26</f>
        <v/>
      </c>
      <c r="D27" s="13">
        <f>MAX(0,C27*$B$12/12)</f>
        <v/>
      </c>
      <c r="E27" s="13">
        <f>MAX(0,MIN(C27,$B$11-D27))</f>
        <v/>
      </c>
      <c r="F27" s="13">
        <f>MAX(0,C27-E27)</f>
        <v/>
      </c>
    </row>
    <row r="28">
      <c r="A28" s="21" t="n">
        <v>6</v>
      </c>
      <c r="B28" s="21" t="inlineStr">
        <is>
          <t>2026-06-01</t>
        </is>
      </c>
      <c r="C28" s="13">
        <f>F27</f>
        <v/>
      </c>
      <c r="D28" s="13">
        <f>MAX(0,C28*$B$12/12)</f>
        <v/>
      </c>
      <c r="E28" s="13">
        <f>MAX(0,MIN(C28,$B$11-D28))</f>
        <v/>
      </c>
      <c r="F28" s="13">
        <f>MAX(0,C28-E28)</f>
        <v/>
      </c>
    </row>
    <row r="29">
      <c r="A29" s="21" t="n">
        <v>7</v>
      </c>
      <c r="B29" s="21" t="inlineStr">
        <is>
          <t>2026-07-01</t>
        </is>
      </c>
      <c r="C29" s="13">
        <f>F28</f>
        <v/>
      </c>
      <c r="D29" s="13">
        <f>MAX(0,C29*$B$12/12)</f>
        <v/>
      </c>
      <c r="E29" s="13">
        <f>MAX(0,MIN(C29,$B$11-D29))</f>
        <v/>
      </c>
      <c r="F29" s="13">
        <f>MAX(0,C29-E29)</f>
        <v/>
      </c>
    </row>
    <row r="30">
      <c r="A30" s="21" t="n">
        <v>8</v>
      </c>
      <c r="B30" s="21" t="inlineStr">
        <is>
          <t>2026-08-01</t>
        </is>
      </c>
      <c r="C30" s="13">
        <f>F29</f>
        <v/>
      </c>
      <c r="D30" s="13">
        <f>MAX(0,C30*$B$12/12)</f>
        <v/>
      </c>
      <c r="E30" s="13">
        <f>MAX(0,MIN(C30,$B$11-D30))</f>
        <v/>
      </c>
      <c r="F30" s="13">
        <f>MAX(0,C30-E30)</f>
        <v/>
      </c>
    </row>
    <row r="31">
      <c r="A31" s="21" t="n">
        <v>9</v>
      </c>
      <c r="B31" s="21" t="inlineStr">
        <is>
          <t>2026-09-01</t>
        </is>
      </c>
      <c r="C31" s="13">
        <f>F30</f>
        <v/>
      </c>
      <c r="D31" s="13">
        <f>MAX(0,C31*$B$12/12)</f>
        <v/>
      </c>
      <c r="E31" s="13">
        <f>MAX(0,MIN(C31,$B$11-D31))</f>
        <v/>
      </c>
      <c r="F31" s="13">
        <f>MAX(0,C31-E31)</f>
        <v/>
      </c>
    </row>
    <row r="32">
      <c r="A32" s="21" t="n">
        <v>10</v>
      </c>
      <c r="B32" s="21" t="inlineStr">
        <is>
          <t>2026-10-01</t>
        </is>
      </c>
      <c r="C32" s="13">
        <f>F31</f>
        <v/>
      </c>
      <c r="D32" s="13">
        <f>MAX(0,C32*$B$12/12)</f>
        <v/>
      </c>
      <c r="E32" s="13">
        <f>MAX(0,MIN(C32,$B$11-D32))</f>
        <v/>
      </c>
      <c r="F32" s="13">
        <f>MAX(0,C32-E32)</f>
        <v/>
      </c>
    </row>
    <row r="33">
      <c r="A33" s="21" t="n">
        <v>11</v>
      </c>
      <c r="B33" s="21" t="inlineStr">
        <is>
          <t>2026-11-01</t>
        </is>
      </c>
      <c r="C33" s="13">
        <f>F32</f>
        <v/>
      </c>
      <c r="D33" s="13">
        <f>MAX(0,C33*$B$12/12)</f>
        <v/>
      </c>
      <c r="E33" s="13">
        <f>MAX(0,MIN(C33,$B$11-D33))</f>
        <v/>
      </c>
      <c r="F33" s="13">
        <f>MAX(0,C33-E33)</f>
        <v/>
      </c>
    </row>
    <row r="34">
      <c r="A34" s="21" t="n">
        <v>12</v>
      </c>
      <c r="B34" s="21" t="inlineStr">
        <is>
          <t>2026-12-01</t>
        </is>
      </c>
      <c r="C34" s="13">
        <f>F33</f>
        <v/>
      </c>
      <c r="D34" s="13">
        <f>MAX(0,C34*$B$12/12)</f>
        <v/>
      </c>
      <c r="E34" s="13">
        <f>MAX(0,MIN(C34,$B$11-D34))</f>
        <v/>
      </c>
      <c r="F34" s="13">
        <f>MAX(0,C34-E34)</f>
        <v/>
      </c>
    </row>
    <row r="35">
      <c r="A35" s="21" t="n">
        <v>13</v>
      </c>
      <c r="B35" s="21" t="inlineStr">
        <is>
          <t>2027-01-01</t>
        </is>
      </c>
      <c r="C35" s="13">
        <f>F34</f>
        <v/>
      </c>
      <c r="D35" s="13">
        <f>MAX(0,C35*$B$12/12)</f>
        <v/>
      </c>
      <c r="E35" s="13">
        <f>MAX(0,MIN(C35,$B$11-D35))</f>
        <v/>
      </c>
      <c r="F35" s="13">
        <f>MAX(0,C35-E35)</f>
        <v/>
      </c>
    </row>
    <row r="36">
      <c r="A36" s="21" t="n">
        <v>14</v>
      </c>
      <c r="B36" s="21" t="inlineStr">
        <is>
          <t>2027-02-01</t>
        </is>
      </c>
      <c r="C36" s="13">
        <f>F35</f>
        <v/>
      </c>
      <c r="D36" s="13">
        <f>MAX(0,C36*$B$12/12)</f>
        <v/>
      </c>
      <c r="E36" s="13">
        <f>MAX(0,MIN(C36,$B$11-D36))</f>
        <v/>
      </c>
      <c r="F36" s="13">
        <f>MAX(0,C36-E36)</f>
        <v/>
      </c>
    </row>
    <row r="37">
      <c r="A37" s="21" t="n">
        <v>15</v>
      </c>
      <c r="B37" s="21" t="inlineStr">
        <is>
          <t>2027-03-01</t>
        </is>
      </c>
      <c r="C37" s="13">
        <f>F36</f>
        <v/>
      </c>
      <c r="D37" s="13">
        <f>MAX(0,C37*$B$12/12)</f>
        <v/>
      </c>
      <c r="E37" s="13">
        <f>MAX(0,MIN(C37,$B$11-D37))</f>
        <v/>
      </c>
      <c r="F37" s="13">
        <f>MAX(0,C37-E37)</f>
        <v/>
      </c>
    </row>
    <row r="38">
      <c r="A38" s="21" t="n">
        <v>16</v>
      </c>
      <c r="B38" s="21" t="inlineStr">
        <is>
          <t>2027-04-01</t>
        </is>
      </c>
      <c r="C38" s="13">
        <f>F37</f>
        <v/>
      </c>
      <c r="D38" s="13">
        <f>MAX(0,C38*$B$12/12)</f>
        <v/>
      </c>
      <c r="E38" s="13">
        <f>MAX(0,MIN(C38,$B$11-D38))</f>
        <v/>
      </c>
      <c r="F38" s="13">
        <f>MAX(0,C38-E38)</f>
        <v/>
      </c>
    </row>
    <row r="39">
      <c r="A39" s="21" t="n">
        <v>17</v>
      </c>
      <c r="B39" s="21" t="inlineStr">
        <is>
          <t>2027-05-01</t>
        </is>
      </c>
      <c r="C39" s="13">
        <f>F38</f>
        <v/>
      </c>
      <c r="D39" s="13">
        <f>MAX(0,C39*$B$12/12)</f>
        <v/>
      </c>
      <c r="E39" s="13">
        <f>MAX(0,MIN(C39,$B$11-D39))</f>
        <v/>
      </c>
      <c r="F39" s="13">
        <f>MAX(0,C39-E39)</f>
        <v/>
      </c>
    </row>
    <row r="40">
      <c r="A40" s="21" t="n">
        <v>18</v>
      </c>
      <c r="B40" s="21" t="inlineStr">
        <is>
          <t>2027-06-01</t>
        </is>
      </c>
      <c r="C40" s="13">
        <f>F39</f>
        <v/>
      </c>
      <c r="D40" s="13">
        <f>MAX(0,C40*$B$12/12)</f>
        <v/>
      </c>
      <c r="E40" s="13">
        <f>MAX(0,MIN(C40,$B$11-D40))</f>
        <v/>
      </c>
      <c r="F40" s="13">
        <f>MAX(0,C40-E40)</f>
        <v/>
      </c>
    </row>
    <row r="41">
      <c r="A41" s="21" t="n">
        <v>19</v>
      </c>
      <c r="B41" s="21" t="inlineStr">
        <is>
          <t>2027-07-01</t>
        </is>
      </c>
      <c r="C41" s="13">
        <f>F40</f>
        <v/>
      </c>
      <c r="D41" s="13">
        <f>MAX(0,C41*$B$12/12)</f>
        <v/>
      </c>
      <c r="E41" s="13">
        <f>MAX(0,MIN(C41,$B$11-D41))</f>
        <v/>
      </c>
      <c r="F41" s="13">
        <f>MAX(0,C41-E41)</f>
        <v/>
      </c>
    </row>
    <row r="42">
      <c r="A42" s="21" t="n">
        <v>20</v>
      </c>
      <c r="B42" s="21" t="inlineStr">
        <is>
          <t>2027-08-01</t>
        </is>
      </c>
      <c r="C42" s="13">
        <f>F41</f>
        <v/>
      </c>
      <c r="D42" s="13">
        <f>MAX(0,C42*$B$12/12)</f>
        <v/>
      </c>
      <c r="E42" s="13">
        <f>MAX(0,MIN(C42,$B$11-D42))</f>
        <v/>
      </c>
      <c r="F42" s="13">
        <f>MAX(0,C42-E42)</f>
        <v/>
      </c>
    </row>
    <row r="43">
      <c r="A43" s="21" t="n">
        <v>21</v>
      </c>
      <c r="B43" s="21" t="inlineStr">
        <is>
          <t>2027-09-01</t>
        </is>
      </c>
      <c r="C43" s="13">
        <f>F42</f>
        <v/>
      </c>
      <c r="D43" s="13">
        <f>MAX(0,C43*$B$12/12)</f>
        <v/>
      </c>
      <c r="E43" s="13">
        <f>MAX(0,MIN(C43,$B$11-D43))</f>
        <v/>
      </c>
      <c r="F43" s="13">
        <f>MAX(0,C43-E43)</f>
        <v/>
      </c>
    </row>
    <row r="44">
      <c r="A44" s="21" t="n">
        <v>22</v>
      </c>
      <c r="B44" s="21" t="inlineStr">
        <is>
          <t>2027-10-01</t>
        </is>
      </c>
      <c r="C44" s="13">
        <f>F43</f>
        <v/>
      </c>
      <c r="D44" s="13">
        <f>MAX(0,C44*$B$12/12)</f>
        <v/>
      </c>
      <c r="E44" s="13">
        <f>MAX(0,MIN(C44,$B$11-D44))</f>
        <v/>
      </c>
      <c r="F44" s="13">
        <f>MAX(0,C44-E44)</f>
        <v/>
      </c>
    </row>
    <row r="45">
      <c r="A45" s="21" t="n">
        <v>23</v>
      </c>
      <c r="B45" s="21" t="inlineStr">
        <is>
          <t>2027-11-01</t>
        </is>
      </c>
      <c r="C45" s="13">
        <f>F44</f>
        <v/>
      </c>
      <c r="D45" s="13">
        <f>MAX(0,C45*$B$12/12)</f>
        <v/>
      </c>
      <c r="E45" s="13">
        <f>MAX(0,MIN(C45,$B$11-D45))</f>
        <v/>
      </c>
      <c r="F45" s="13">
        <f>MAX(0,C45-E45)</f>
        <v/>
      </c>
    </row>
    <row r="46">
      <c r="A46" s="21" t="n">
        <v>24</v>
      </c>
      <c r="B46" s="21" t="inlineStr">
        <is>
          <t>2027-12-01</t>
        </is>
      </c>
      <c r="C46" s="13">
        <f>F45</f>
        <v/>
      </c>
      <c r="D46" s="13">
        <f>MAX(0,C46*$B$12/12)</f>
        <v/>
      </c>
      <c r="E46" s="13">
        <f>MAX(0,MIN(C46,$B$11-D46))</f>
        <v/>
      </c>
      <c r="F46" s="13">
        <f>MAX(0,C46-E46)</f>
        <v/>
      </c>
    </row>
    <row r="47">
      <c r="A47" s="21" t="n">
        <v>25</v>
      </c>
      <c r="B47" s="21" t="inlineStr">
        <is>
          <t>2028-01-01</t>
        </is>
      </c>
      <c r="C47" s="13">
        <f>F46</f>
        <v/>
      </c>
      <c r="D47" s="13">
        <f>MAX(0,C47*$B$12/12)</f>
        <v/>
      </c>
      <c r="E47" s="13">
        <f>MAX(0,MIN(C47,$B$11-D47))</f>
        <v/>
      </c>
      <c r="F47" s="13">
        <f>MAX(0,C47-E47)</f>
        <v/>
      </c>
    </row>
    <row r="48">
      <c r="A48" s="21" t="n">
        <v>26</v>
      </c>
      <c r="B48" s="21" t="inlineStr">
        <is>
          <t>2028-02-01</t>
        </is>
      </c>
      <c r="C48" s="13">
        <f>F47</f>
        <v/>
      </c>
      <c r="D48" s="13">
        <f>MAX(0,C48*$B$12/12)</f>
        <v/>
      </c>
      <c r="E48" s="13">
        <f>MAX(0,MIN(C48,$B$11-D48))</f>
        <v/>
      </c>
      <c r="F48" s="13">
        <f>MAX(0,C48-E48)</f>
        <v/>
      </c>
    </row>
    <row r="49">
      <c r="A49" s="21" t="n">
        <v>27</v>
      </c>
      <c r="B49" s="21" t="inlineStr">
        <is>
          <t>2028-03-01</t>
        </is>
      </c>
      <c r="C49" s="13">
        <f>F48</f>
        <v/>
      </c>
      <c r="D49" s="13">
        <f>MAX(0,C49*$B$12/12)</f>
        <v/>
      </c>
      <c r="E49" s="13">
        <f>MAX(0,MIN(C49,$B$11-D49))</f>
        <v/>
      </c>
      <c r="F49" s="13">
        <f>MAX(0,C49-E49)</f>
        <v/>
      </c>
    </row>
    <row r="50">
      <c r="A50" s="21" t="n">
        <v>28</v>
      </c>
      <c r="B50" s="21" t="inlineStr">
        <is>
          <t>2028-04-01</t>
        </is>
      </c>
      <c r="C50" s="13">
        <f>F49</f>
        <v/>
      </c>
      <c r="D50" s="13">
        <f>MAX(0,C50*$B$12/12)</f>
        <v/>
      </c>
      <c r="E50" s="13">
        <f>MAX(0,MIN(C50,$B$11-D50))</f>
        <v/>
      </c>
      <c r="F50" s="13">
        <f>MAX(0,C50-E50)</f>
        <v/>
      </c>
    </row>
    <row r="51">
      <c r="A51" s="21" t="n">
        <v>29</v>
      </c>
      <c r="B51" s="21" t="inlineStr">
        <is>
          <t>2028-05-01</t>
        </is>
      </c>
      <c r="C51" s="13">
        <f>F50</f>
        <v/>
      </c>
      <c r="D51" s="13">
        <f>MAX(0,C51*$B$12/12)</f>
        <v/>
      </c>
      <c r="E51" s="13">
        <f>MAX(0,MIN(C51,$B$11-D51))</f>
        <v/>
      </c>
      <c r="F51" s="13">
        <f>MAX(0,C51-E51)</f>
        <v/>
      </c>
    </row>
    <row r="54">
      <c r="A54" s="2" t="inlineStr">
        <is>
          <t>ANNUAL SUMMARY</t>
        </is>
      </c>
    </row>
    <row r="55">
      <c r="A55" s="30" t="inlineStr">
        <is>
          <t>Year</t>
        </is>
      </c>
      <c r="B55" s="30" t="inlineStr">
        <is>
          <t>Beginning Balance</t>
        </is>
      </c>
      <c r="C55" s="30" t="inlineStr">
        <is>
          <t>Total Interest</t>
        </is>
      </c>
      <c r="D55" s="30" t="inlineStr">
        <is>
          <t>Total Principal</t>
        </is>
      </c>
      <c r="E55" s="30" t="inlineStr">
        <is>
          <t>Ending Balance</t>
        </is>
      </c>
      <c r="F55" s="30" t="inlineStr"/>
    </row>
    <row r="56">
      <c r="A56" s="21" t="n">
        <v>2026</v>
      </c>
      <c r="B56" s="13">
        <f>C23</f>
        <v/>
      </c>
      <c r="C56" s="13">
        <f>SUM(D23:D34)</f>
        <v/>
      </c>
      <c r="D56" s="13">
        <f>SUM(E23:E34)</f>
        <v/>
      </c>
      <c r="E56" s="13">
        <f>F34</f>
        <v/>
      </c>
    </row>
    <row r="57">
      <c r="A57" s="21" t="n">
        <v>2027</v>
      </c>
      <c r="B57" s="13">
        <f>C35</f>
        <v/>
      </c>
      <c r="C57" s="13">
        <f>SUM(D35:D46)</f>
        <v/>
      </c>
      <c r="D57" s="13">
        <f>SUM(E35:E46)</f>
        <v/>
      </c>
      <c r="E57" s="13">
        <f>F46</f>
        <v/>
      </c>
    </row>
    <row r="58">
      <c r="A58" s="21" t="n">
        <v>2028</v>
      </c>
      <c r="B58" s="13">
        <f>C47</f>
        <v/>
      </c>
      <c r="C58" s="13">
        <f>SUM(D47:D51)</f>
        <v/>
      </c>
      <c r="D58" s="13">
        <f>SUM(E47:E51)</f>
        <v/>
      </c>
      <c r="E58" s="13">
        <f>F51</f>
        <v/>
      </c>
    </row>
    <row r="61">
      <c r="A61" t="inlineStr">
        <is>
          <t>Current Balance (link target)</t>
        </is>
      </c>
      <c r="B61" s="31">
        <f>$B$10</f>
        <v/>
      </c>
    </row>
  </sheetData>
  <mergeCells count="3">
    <mergeCell ref="A1:C1"/>
    <mergeCell ref="A54:F54"/>
    <mergeCell ref="A15:C15"/>
  </mergeCells>
  <pageMargins left="0.75" right="0.75" top="1" bottom="1" header="0.5" footer="0.5"/>
  <legacyDrawing xmlns:r="http://schemas.openxmlformats.org/officeDocument/2006/relationships" r:id="anysvml"/>
</worksheet>
</file>

<file path=xl/worksheets/sheet76.xml><?xml version="1.0" encoding="utf-8"?>
<worksheet xmlns="http://schemas.openxmlformats.org/spreadsheetml/2006/main">
  <sheetPr>
    <tabColor rgb="00808080"/>
    <outlinePr summaryBelow="1" summaryRight="1"/>
    <pageSetUpPr/>
  </sheetPr>
  <dimension ref="A1:F61"/>
  <sheetViews>
    <sheetView workbookViewId="0">
      <selection activeCell="A1" sqref="A1"/>
    </sheetView>
  </sheetViews>
  <sheetFormatPr baseColWidth="8" defaultRowHeight="15"/>
  <cols>
    <col width="12" customWidth="1" min="1" max="1"/>
    <col width="2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LOAN ASSUMPTIONS</t>
        </is>
      </c>
    </row>
    <row r="2">
      <c r="A2" t="inlineStr">
        <is>
          <t>Lender</t>
        </is>
      </c>
      <c r="B2" s="4" t="inlineStr">
        <is>
          <t>Huntington</t>
        </is>
      </c>
    </row>
    <row r="3">
      <c r="A3" t="inlineStr">
        <is>
          <t>Loan ID</t>
        </is>
      </c>
      <c r="B3" s="4" t="inlineStr">
        <is>
          <t>05-2961-004-000-00</t>
        </is>
      </c>
    </row>
    <row r="4">
      <c r="A4" t="inlineStr">
        <is>
          <t>Loan Number</t>
        </is>
      </c>
      <c r="B4" s="4" t="inlineStr">
        <is>
          <t>101-0014230-006</t>
        </is>
      </c>
    </row>
    <row r="5">
      <c r="A5" t="inlineStr">
        <is>
          <t>Description</t>
        </is>
      </c>
      <c r="B5" s="4" t="inlineStr">
        <is>
          <t>3 T880 DC &amp; 1 T680 SLPR (May 2022)</t>
        </is>
      </c>
    </row>
    <row r="6">
      <c r="A6" t="inlineStr">
        <is>
          <t>Collateral</t>
        </is>
      </c>
      <c r="B6" s="4" t="inlineStr">
        <is>
          <t>Equipment - Semi Trucks</t>
        </is>
      </c>
    </row>
    <row r="7">
      <c r="A7" t="inlineStr">
        <is>
          <t>Origination Date</t>
        </is>
      </c>
      <c r="B7" s="4" t="inlineStr">
        <is>
          <t>2022-05-18</t>
        </is>
      </c>
    </row>
    <row r="8">
      <c r="A8" t="inlineStr">
        <is>
          <t>Maturity Date</t>
        </is>
      </c>
      <c r="B8" s="4" t="inlineStr">
        <is>
          <t>2027-11-18</t>
        </is>
      </c>
    </row>
    <row r="9">
      <c r="A9" t="inlineStr">
        <is>
          <t>Original Balance</t>
        </is>
      </c>
      <c r="B9" s="26" t="n">
        <v>605160</v>
      </c>
    </row>
    <row r="10">
      <c r="A10" t="inlineStr">
        <is>
          <t>Current Balance (12/31/2025)</t>
        </is>
      </c>
      <c r="B10" s="26" t="n">
        <v>255221</v>
      </c>
    </row>
    <row r="11">
      <c r="A11" t="inlineStr">
        <is>
          <t>Monthly Payment</t>
        </is>
      </c>
      <c r="B11" s="26" t="n">
        <v>10289</v>
      </c>
    </row>
    <row r="12">
      <c r="A12" t="inlineStr">
        <is>
          <t>Annual Interest Rate</t>
        </is>
      </c>
      <c r="B12" s="6" t="n">
        <v>0.0418</v>
      </c>
    </row>
    <row r="13">
      <c r="A13" t="inlineStr">
        <is>
          <t>Loan Type</t>
        </is>
      </c>
      <c r="B13" s="4" t="inlineStr">
        <is>
          <t>AMORTIZING</t>
        </is>
      </c>
    </row>
    <row r="15">
      <c r="A15" s="2" t="inlineStr">
        <is>
          <t>AI ANALYSIS</t>
        </is>
      </c>
    </row>
    <row r="16">
      <c r="A16" s="9" t="inlineStr">
        <is>
          <t>Loan Classification</t>
        </is>
      </c>
      <c r="B16" s="9" t="inlineStr">
        <is>
          <t>AMORTIZING - Equipment Finance</t>
        </is>
      </c>
    </row>
    <row r="17">
      <c r="A17" s="9" t="inlineStr">
        <is>
          <t>Months Remaining</t>
        </is>
      </c>
      <c r="B17" s="9" t="inlineStr">
        <is>
          <t>23 months</t>
        </is>
      </c>
    </row>
    <row r="18">
      <c r="A18" s="9" t="inlineStr">
        <is>
          <t>Amortization Method</t>
        </is>
      </c>
      <c r="B18" s="9" t="inlineStr">
        <is>
          <t>Standard monthly principal + interest</t>
        </is>
      </c>
    </row>
    <row r="19">
      <c r="A19" s="9" t="inlineStr">
        <is>
          <t>Notes</t>
        </is>
      </c>
      <c r="B19" s="9" t="inlineStr">
        <is>
          <t>Standard equipment loan, no special terms noted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21" t="n">
        <v>1</v>
      </c>
      <c r="B23" s="21" t="inlineStr">
        <is>
          <t>2026-01-01</t>
        </is>
      </c>
      <c r="C23" s="13">
        <f>$B$10</f>
        <v/>
      </c>
      <c r="D23" s="13">
        <f>MAX(0,C23*$B$12/12)</f>
        <v/>
      </c>
      <c r="E23" s="13">
        <f>MAX(0,MIN(C23,$B$11-D23))</f>
        <v/>
      </c>
      <c r="F23" s="13">
        <f>MAX(0,C23-E23)</f>
        <v/>
      </c>
    </row>
    <row r="24">
      <c r="A24" s="21" t="n">
        <v>2</v>
      </c>
      <c r="B24" s="21" t="inlineStr">
        <is>
          <t>2026-02-01</t>
        </is>
      </c>
      <c r="C24" s="13">
        <f>F23</f>
        <v/>
      </c>
      <c r="D24" s="13">
        <f>MAX(0,C24*$B$12/12)</f>
        <v/>
      </c>
      <c r="E24" s="13">
        <f>MAX(0,MIN(C24,$B$11-D24))</f>
        <v/>
      </c>
      <c r="F24" s="13">
        <f>MAX(0,C24-E24)</f>
        <v/>
      </c>
    </row>
    <row r="25">
      <c r="A25" s="21" t="n">
        <v>3</v>
      </c>
      <c r="B25" s="21" t="inlineStr">
        <is>
          <t>2026-03-01</t>
        </is>
      </c>
      <c r="C25" s="13">
        <f>F24</f>
        <v/>
      </c>
      <c r="D25" s="13">
        <f>MAX(0,C25*$B$12/12)</f>
        <v/>
      </c>
      <c r="E25" s="13">
        <f>MAX(0,MIN(C25,$B$11-D25))</f>
        <v/>
      </c>
      <c r="F25" s="13">
        <f>MAX(0,C25-E25)</f>
        <v/>
      </c>
    </row>
    <row r="26">
      <c r="A26" s="21" t="n">
        <v>4</v>
      </c>
      <c r="B26" s="21" t="inlineStr">
        <is>
          <t>2026-04-01</t>
        </is>
      </c>
      <c r="C26" s="13">
        <f>F25</f>
        <v/>
      </c>
      <c r="D26" s="13">
        <f>MAX(0,C26*$B$12/12)</f>
        <v/>
      </c>
      <c r="E26" s="13">
        <f>MAX(0,MIN(C26,$B$11-D26))</f>
        <v/>
      </c>
      <c r="F26" s="13">
        <f>MAX(0,C26-E26)</f>
        <v/>
      </c>
    </row>
    <row r="27">
      <c r="A27" s="21" t="n">
        <v>5</v>
      </c>
      <c r="B27" s="21" t="inlineStr">
        <is>
          <t>2026-05-01</t>
        </is>
      </c>
      <c r="C27" s="13">
        <f>F26</f>
        <v/>
      </c>
      <c r="D27" s="13">
        <f>MAX(0,C27*$B$12/12)</f>
        <v/>
      </c>
      <c r="E27" s="13">
        <f>MAX(0,MIN(C27,$B$11-D27))</f>
        <v/>
      </c>
      <c r="F27" s="13">
        <f>MAX(0,C27-E27)</f>
        <v/>
      </c>
    </row>
    <row r="28">
      <c r="A28" s="21" t="n">
        <v>6</v>
      </c>
      <c r="B28" s="21" t="inlineStr">
        <is>
          <t>2026-06-01</t>
        </is>
      </c>
      <c r="C28" s="13">
        <f>F27</f>
        <v/>
      </c>
      <c r="D28" s="13">
        <f>MAX(0,C28*$B$12/12)</f>
        <v/>
      </c>
      <c r="E28" s="13">
        <f>MAX(0,MIN(C28,$B$11-D28))</f>
        <v/>
      </c>
      <c r="F28" s="13">
        <f>MAX(0,C28-E28)</f>
        <v/>
      </c>
    </row>
    <row r="29">
      <c r="A29" s="21" t="n">
        <v>7</v>
      </c>
      <c r="B29" s="21" t="inlineStr">
        <is>
          <t>2026-07-01</t>
        </is>
      </c>
      <c r="C29" s="13">
        <f>F28</f>
        <v/>
      </c>
      <c r="D29" s="13">
        <f>MAX(0,C29*$B$12/12)</f>
        <v/>
      </c>
      <c r="E29" s="13">
        <f>MAX(0,MIN(C29,$B$11-D29))</f>
        <v/>
      </c>
      <c r="F29" s="13">
        <f>MAX(0,C29-E29)</f>
        <v/>
      </c>
    </row>
    <row r="30">
      <c r="A30" s="21" t="n">
        <v>8</v>
      </c>
      <c r="B30" s="21" t="inlineStr">
        <is>
          <t>2026-08-01</t>
        </is>
      </c>
      <c r="C30" s="13">
        <f>F29</f>
        <v/>
      </c>
      <c r="D30" s="13">
        <f>MAX(0,C30*$B$12/12)</f>
        <v/>
      </c>
      <c r="E30" s="13">
        <f>MAX(0,MIN(C30,$B$11-D30))</f>
        <v/>
      </c>
      <c r="F30" s="13">
        <f>MAX(0,C30-E30)</f>
        <v/>
      </c>
    </row>
    <row r="31">
      <c r="A31" s="21" t="n">
        <v>9</v>
      </c>
      <c r="B31" s="21" t="inlineStr">
        <is>
          <t>2026-09-01</t>
        </is>
      </c>
      <c r="C31" s="13">
        <f>F30</f>
        <v/>
      </c>
      <c r="D31" s="13">
        <f>MAX(0,C31*$B$12/12)</f>
        <v/>
      </c>
      <c r="E31" s="13">
        <f>MAX(0,MIN(C31,$B$11-D31))</f>
        <v/>
      </c>
      <c r="F31" s="13">
        <f>MAX(0,C31-E31)</f>
        <v/>
      </c>
    </row>
    <row r="32">
      <c r="A32" s="21" t="n">
        <v>10</v>
      </c>
      <c r="B32" s="21" t="inlineStr">
        <is>
          <t>2026-10-01</t>
        </is>
      </c>
      <c r="C32" s="13">
        <f>F31</f>
        <v/>
      </c>
      <c r="D32" s="13">
        <f>MAX(0,C32*$B$12/12)</f>
        <v/>
      </c>
      <c r="E32" s="13">
        <f>MAX(0,MIN(C32,$B$11-D32))</f>
        <v/>
      </c>
      <c r="F32" s="13">
        <f>MAX(0,C32-E32)</f>
        <v/>
      </c>
    </row>
    <row r="33">
      <c r="A33" s="21" t="n">
        <v>11</v>
      </c>
      <c r="B33" s="21" t="inlineStr">
        <is>
          <t>2026-11-01</t>
        </is>
      </c>
      <c r="C33" s="13">
        <f>F32</f>
        <v/>
      </c>
      <c r="D33" s="13">
        <f>MAX(0,C33*$B$12/12)</f>
        <v/>
      </c>
      <c r="E33" s="13">
        <f>MAX(0,MIN(C33,$B$11-D33))</f>
        <v/>
      </c>
      <c r="F33" s="13">
        <f>MAX(0,C33-E33)</f>
        <v/>
      </c>
    </row>
    <row r="34">
      <c r="A34" s="21" t="n">
        <v>12</v>
      </c>
      <c r="B34" s="21" t="inlineStr">
        <is>
          <t>2026-12-01</t>
        </is>
      </c>
      <c r="C34" s="13">
        <f>F33</f>
        <v/>
      </c>
      <c r="D34" s="13">
        <f>MAX(0,C34*$B$12/12)</f>
        <v/>
      </c>
      <c r="E34" s="13">
        <f>MAX(0,MIN(C34,$B$11-D34))</f>
        <v/>
      </c>
      <c r="F34" s="13">
        <f>MAX(0,C34-E34)</f>
        <v/>
      </c>
    </row>
    <row r="35">
      <c r="A35" s="21" t="n">
        <v>13</v>
      </c>
      <c r="B35" s="21" t="inlineStr">
        <is>
          <t>2027-01-01</t>
        </is>
      </c>
      <c r="C35" s="13">
        <f>F34</f>
        <v/>
      </c>
      <c r="D35" s="13">
        <f>MAX(0,C35*$B$12/12)</f>
        <v/>
      </c>
      <c r="E35" s="13">
        <f>MAX(0,MIN(C35,$B$11-D35))</f>
        <v/>
      </c>
      <c r="F35" s="13">
        <f>MAX(0,C35-E35)</f>
        <v/>
      </c>
    </row>
    <row r="36">
      <c r="A36" s="21" t="n">
        <v>14</v>
      </c>
      <c r="B36" s="21" t="inlineStr">
        <is>
          <t>2027-02-01</t>
        </is>
      </c>
      <c r="C36" s="13">
        <f>F35</f>
        <v/>
      </c>
      <c r="D36" s="13">
        <f>MAX(0,C36*$B$12/12)</f>
        <v/>
      </c>
      <c r="E36" s="13">
        <f>MAX(0,MIN(C36,$B$11-D36))</f>
        <v/>
      </c>
      <c r="F36" s="13">
        <f>MAX(0,C36-E36)</f>
        <v/>
      </c>
    </row>
    <row r="37">
      <c r="A37" s="21" t="n">
        <v>15</v>
      </c>
      <c r="B37" s="21" t="inlineStr">
        <is>
          <t>2027-03-01</t>
        </is>
      </c>
      <c r="C37" s="13">
        <f>F36</f>
        <v/>
      </c>
      <c r="D37" s="13">
        <f>MAX(0,C37*$B$12/12)</f>
        <v/>
      </c>
      <c r="E37" s="13">
        <f>MAX(0,MIN(C37,$B$11-D37))</f>
        <v/>
      </c>
      <c r="F37" s="13">
        <f>MAX(0,C37-E37)</f>
        <v/>
      </c>
    </row>
    <row r="38">
      <c r="A38" s="21" t="n">
        <v>16</v>
      </c>
      <c r="B38" s="21" t="inlineStr">
        <is>
          <t>2027-04-01</t>
        </is>
      </c>
      <c r="C38" s="13">
        <f>F37</f>
        <v/>
      </c>
      <c r="D38" s="13">
        <f>MAX(0,C38*$B$12/12)</f>
        <v/>
      </c>
      <c r="E38" s="13">
        <f>MAX(0,MIN(C38,$B$11-D38))</f>
        <v/>
      </c>
      <c r="F38" s="13">
        <f>MAX(0,C38-E38)</f>
        <v/>
      </c>
    </row>
    <row r="39">
      <c r="A39" s="21" t="n">
        <v>17</v>
      </c>
      <c r="B39" s="21" t="inlineStr">
        <is>
          <t>2027-05-01</t>
        </is>
      </c>
      <c r="C39" s="13">
        <f>F38</f>
        <v/>
      </c>
      <c r="D39" s="13">
        <f>MAX(0,C39*$B$12/12)</f>
        <v/>
      </c>
      <c r="E39" s="13">
        <f>MAX(0,MIN(C39,$B$11-D39))</f>
        <v/>
      </c>
      <c r="F39" s="13">
        <f>MAX(0,C39-E39)</f>
        <v/>
      </c>
    </row>
    <row r="40">
      <c r="A40" s="21" t="n">
        <v>18</v>
      </c>
      <c r="B40" s="21" t="inlineStr">
        <is>
          <t>2027-06-01</t>
        </is>
      </c>
      <c r="C40" s="13">
        <f>F39</f>
        <v/>
      </c>
      <c r="D40" s="13">
        <f>MAX(0,C40*$B$12/12)</f>
        <v/>
      </c>
      <c r="E40" s="13">
        <f>MAX(0,MIN(C40,$B$11-D40))</f>
        <v/>
      </c>
      <c r="F40" s="13">
        <f>MAX(0,C40-E40)</f>
        <v/>
      </c>
    </row>
    <row r="41">
      <c r="A41" s="21" t="n">
        <v>19</v>
      </c>
      <c r="B41" s="21" t="inlineStr">
        <is>
          <t>2027-07-01</t>
        </is>
      </c>
      <c r="C41" s="13">
        <f>F40</f>
        <v/>
      </c>
      <c r="D41" s="13">
        <f>MAX(0,C41*$B$12/12)</f>
        <v/>
      </c>
      <c r="E41" s="13">
        <f>MAX(0,MIN(C41,$B$11-D41))</f>
        <v/>
      </c>
      <c r="F41" s="13">
        <f>MAX(0,C41-E41)</f>
        <v/>
      </c>
    </row>
    <row r="42">
      <c r="A42" s="21" t="n">
        <v>20</v>
      </c>
      <c r="B42" s="21" t="inlineStr">
        <is>
          <t>2027-08-01</t>
        </is>
      </c>
      <c r="C42" s="13">
        <f>F41</f>
        <v/>
      </c>
      <c r="D42" s="13">
        <f>MAX(0,C42*$B$12/12)</f>
        <v/>
      </c>
      <c r="E42" s="13">
        <f>MAX(0,MIN(C42,$B$11-D42))</f>
        <v/>
      </c>
      <c r="F42" s="13">
        <f>MAX(0,C42-E42)</f>
        <v/>
      </c>
    </row>
    <row r="43">
      <c r="A43" s="21" t="n">
        <v>21</v>
      </c>
      <c r="B43" s="21" t="inlineStr">
        <is>
          <t>2027-09-01</t>
        </is>
      </c>
      <c r="C43" s="13">
        <f>F42</f>
        <v/>
      </c>
      <c r="D43" s="13">
        <f>MAX(0,C43*$B$12/12)</f>
        <v/>
      </c>
      <c r="E43" s="13">
        <f>MAX(0,MIN(C43,$B$11-D43))</f>
        <v/>
      </c>
      <c r="F43" s="13">
        <f>MAX(0,C43-E43)</f>
        <v/>
      </c>
    </row>
    <row r="44">
      <c r="A44" s="21" t="n">
        <v>22</v>
      </c>
      <c r="B44" s="21" t="inlineStr">
        <is>
          <t>2027-10-01</t>
        </is>
      </c>
      <c r="C44" s="13">
        <f>F43</f>
        <v/>
      </c>
      <c r="D44" s="13">
        <f>MAX(0,C44*$B$12/12)</f>
        <v/>
      </c>
      <c r="E44" s="13">
        <f>MAX(0,MIN(C44,$B$11-D44))</f>
        <v/>
      </c>
      <c r="F44" s="13">
        <f>MAX(0,C44-E44)</f>
        <v/>
      </c>
    </row>
    <row r="45">
      <c r="A45" s="21" t="n">
        <v>23</v>
      </c>
      <c r="B45" s="21" t="inlineStr">
        <is>
          <t>2027-11-01</t>
        </is>
      </c>
      <c r="C45" s="13">
        <f>F44</f>
        <v/>
      </c>
      <c r="D45" s="13">
        <f>MAX(0,C45*$B$12/12)</f>
        <v/>
      </c>
      <c r="E45" s="13">
        <f>MAX(0,MIN(C45,$B$11-D45))</f>
        <v/>
      </c>
      <c r="F45" s="13">
        <f>MAX(0,C45-E45)</f>
        <v/>
      </c>
    </row>
    <row r="46">
      <c r="A46" s="21" t="n">
        <v>24</v>
      </c>
      <c r="B46" s="21" t="inlineStr">
        <is>
          <t>2027-12-01</t>
        </is>
      </c>
      <c r="C46" s="13">
        <f>F45</f>
        <v/>
      </c>
      <c r="D46" s="13">
        <f>MAX(0,C46*$B$12/12)</f>
        <v/>
      </c>
      <c r="E46" s="13">
        <f>MAX(0,MIN(C46,$B$11-D46))</f>
        <v/>
      </c>
      <c r="F46" s="13">
        <f>MAX(0,C46-E46)</f>
        <v/>
      </c>
    </row>
    <row r="47">
      <c r="A47" s="21" t="n">
        <v>25</v>
      </c>
      <c r="B47" s="21" t="inlineStr">
        <is>
          <t>2028-01-01</t>
        </is>
      </c>
      <c r="C47" s="13">
        <f>F46</f>
        <v/>
      </c>
      <c r="D47" s="13">
        <f>MAX(0,C47*$B$12/12)</f>
        <v/>
      </c>
      <c r="E47" s="13">
        <f>MAX(0,MIN(C47,$B$11-D47))</f>
        <v/>
      </c>
      <c r="F47" s="13">
        <f>MAX(0,C47-E47)</f>
        <v/>
      </c>
    </row>
    <row r="48">
      <c r="A48" s="21" t="n">
        <v>26</v>
      </c>
      <c r="B48" s="21" t="inlineStr">
        <is>
          <t>2028-02-01</t>
        </is>
      </c>
      <c r="C48" s="13">
        <f>F47</f>
        <v/>
      </c>
      <c r="D48" s="13">
        <f>MAX(0,C48*$B$12/12)</f>
        <v/>
      </c>
      <c r="E48" s="13">
        <f>MAX(0,MIN(C48,$B$11-D48))</f>
        <v/>
      </c>
      <c r="F48" s="13">
        <f>MAX(0,C48-E48)</f>
        <v/>
      </c>
    </row>
    <row r="49">
      <c r="A49" s="21" t="n">
        <v>27</v>
      </c>
      <c r="B49" s="21" t="inlineStr">
        <is>
          <t>2028-03-01</t>
        </is>
      </c>
      <c r="C49" s="13">
        <f>F48</f>
        <v/>
      </c>
      <c r="D49" s="13">
        <f>MAX(0,C49*$B$12/12)</f>
        <v/>
      </c>
      <c r="E49" s="13">
        <f>MAX(0,MIN(C49,$B$11-D49))</f>
        <v/>
      </c>
      <c r="F49" s="13">
        <f>MAX(0,C49-E49)</f>
        <v/>
      </c>
    </row>
    <row r="50">
      <c r="A50" s="21" t="n">
        <v>28</v>
      </c>
      <c r="B50" s="21" t="inlineStr">
        <is>
          <t>2028-04-01</t>
        </is>
      </c>
      <c r="C50" s="13">
        <f>F49</f>
        <v/>
      </c>
      <c r="D50" s="13">
        <f>MAX(0,C50*$B$12/12)</f>
        <v/>
      </c>
      <c r="E50" s="13">
        <f>MAX(0,MIN(C50,$B$11-D50))</f>
        <v/>
      </c>
      <c r="F50" s="13">
        <f>MAX(0,C50-E50)</f>
        <v/>
      </c>
    </row>
    <row r="51">
      <c r="A51" s="21" t="n">
        <v>29</v>
      </c>
      <c r="B51" s="21" t="inlineStr">
        <is>
          <t>2028-05-01</t>
        </is>
      </c>
      <c r="C51" s="13">
        <f>F50</f>
        <v/>
      </c>
      <c r="D51" s="13">
        <f>MAX(0,C51*$B$12/12)</f>
        <v/>
      </c>
      <c r="E51" s="13">
        <f>MAX(0,MIN(C51,$B$11-D51))</f>
        <v/>
      </c>
      <c r="F51" s="13">
        <f>MAX(0,C51-E51)</f>
        <v/>
      </c>
    </row>
    <row r="54">
      <c r="A54" s="2" t="inlineStr">
        <is>
          <t>ANNUAL SUMMARY</t>
        </is>
      </c>
    </row>
    <row r="55">
      <c r="A55" s="30" t="inlineStr">
        <is>
          <t>Year</t>
        </is>
      </c>
      <c r="B55" s="30" t="inlineStr">
        <is>
          <t>Beginning Balance</t>
        </is>
      </c>
      <c r="C55" s="30" t="inlineStr">
        <is>
          <t>Total Interest</t>
        </is>
      </c>
      <c r="D55" s="30" t="inlineStr">
        <is>
          <t>Total Principal</t>
        </is>
      </c>
      <c r="E55" s="30" t="inlineStr">
        <is>
          <t>Ending Balance</t>
        </is>
      </c>
      <c r="F55" s="30" t="inlineStr"/>
    </row>
    <row r="56">
      <c r="A56" s="21" t="n">
        <v>2026</v>
      </c>
      <c r="B56" s="13">
        <f>C23</f>
        <v/>
      </c>
      <c r="C56" s="13">
        <f>SUM(D23:D34)</f>
        <v/>
      </c>
      <c r="D56" s="13">
        <f>SUM(E23:E34)</f>
        <v/>
      </c>
      <c r="E56" s="13">
        <f>F34</f>
        <v/>
      </c>
    </row>
    <row r="57">
      <c r="A57" s="21" t="n">
        <v>2027</v>
      </c>
      <c r="B57" s="13">
        <f>C35</f>
        <v/>
      </c>
      <c r="C57" s="13">
        <f>SUM(D35:D46)</f>
        <v/>
      </c>
      <c r="D57" s="13">
        <f>SUM(E35:E46)</f>
        <v/>
      </c>
      <c r="E57" s="13">
        <f>F46</f>
        <v/>
      </c>
    </row>
    <row r="58">
      <c r="A58" s="21" t="n">
        <v>2028</v>
      </c>
      <c r="B58" s="13">
        <f>C47</f>
        <v/>
      </c>
      <c r="C58" s="13">
        <f>SUM(D47:D51)</f>
        <v/>
      </c>
      <c r="D58" s="13">
        <f>SUM(E47:E51)</f>
        <v/>
      </c>
      <c r="E58" s="13">
        <f>F51</f>
        <v/>
      </c>
    </row>
    <row r="61">
      <c r="A61" t="inlineStr">
        <is>
          <t>Current Balance (link target)</t>
        </is>
      </c>
      <c r="B61" s="31">
        <f>$B$10</f>
        <v/>
      </c>
    </row>
  </sheetData>
  <mergeCells count="3">
    <mergeCell ref="A1:C1"/>
    <mergeCell ref="A54:F54"/>
    <mergeCell ref="A15:C15"/>
  </mergeCells>
  <pageMargins left="0.75" right="0.75" top="1" bottom="1" header="0.5" footer="0.5"/>
  <legacyDrawing xmlns:r="http://schemas.openxmlformats.org/officeDocument/2006/relationships" r:id="anysvml"/>
</worksheet>
</file>

<file path=xl/worksheets/sheet77.xml><?xml version="1.0" encoding="utf-8"?>
<worksheet xmlns="http://schemas.openxmlformats.org/spreadsheetml/2006/main">
  <sheetPr>
    <tabColor rgb="00808080"/>
    <outlinePr summaryBelow="1" summaryRight="1"/>
    <pageSetUpPr/>
  </sheetPr>
  <dimension ref="A1:F62"/>
  <sheetViews>
    <sheetView workbookViewId="0">
      <selection activeCell="A1" sqref="A1"/>
    </sheetView>
  </sheetViews>
  <sheetFormatPr baseColWidth="8" defaultRowHeight="15"/>
  <cols>
    <col width="12" customWidth="1" min="1" max="1"/>
    <col width="2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2" t="inlineStr">
        <is>
          <t>LOAN ASSUMPTIONS</t>
        </is>
      </c>
    </row>
    <row r="2">
      <c r="A2" t="inlineStr">
        <is>
          <t>Lender</t>
        </is>
      </c>
      <c r="B2" s="4" t="inlineStr">
        <is>
          <t>Huntington</t>
        </is>
      </c>
    </row>
    <row r="3">
      <c r="A3" t="inlineStr">
        <is>
          <t>Loan ID</t>
        </is>
      </c>
      <c r="B3" s="4" t="inlineStr">
        <is>
          <t>05-2961-005-000-00</t>
        </is>
      </c>
    </row>
    <row r="4">
      <c r="A4" t="inlineStr">
        <is>
          <t>Loan Number</t>
        </is>
      </c>
      <c r="B4" s="4" t="inlineStr">
        <is>
          <t>101-0014230-007</t>
        </is>
      </c>
    </row>
    <row r="5">
      <c r="A5" t="inlineStr">
        <is>
          <t>Description</t>
        </is>
      </c>
      <c r="B5" s="4" t="inlineStr">
        <is>
          <t>2 T880 DC (Jun 2022)</t>
        </is>
      </c>
    </row>
    <row r="6">
      <c r="A6" t="inlineStr">
        <is>
          <t>Collateral</t>
        </is>
      </c>
      <c r="B6" s="4" t="inlineStr">
        <is>
          <t>Equipment - Semi Trucks</t>
        </is>
      </c>
    </row>
    <row r="7">
      <c r="A7" t="inlineStr">
        <is>
          <t>Origination Date</t>
        </is>
      </c>
      <c r="B7" s="4" t="inlineStr">
        <is>
          <t>2022-06-01</t>
        </is>
      </c>
    </row>
    <row r="8">
      <c r="A8" t="inlineStr">
        <is>
          <t>Maturity Date</t>
        </is>
      </c>
      <c r="B8" s="4" t="inlineStr">
        <is>
          <t>2027-12-01</t>
        </is>
      </c>
    </row>
    <row r="9">
      <c r="A9" t="inlineStr">
        <is>
          <t>Original Balance</t>
        </is>
      </c>
      <c r="B9" s="26" t="n">
        <v>296410</v>
      </c>
    </row>
    <row r="10">
      <c r="A10" t="inlineStr">
        <is>
          <t>Current Balance (12/31/2025)</t>
        </is>
      </c>
      <c r="B10" s="26" t="n">
        <v>129223</v>
      </c>
    </row>
    <row r="11">
      <c r="A11" t="inlineStr">
        <is>
          <t>Monthly Payment</t>
        </is>
      </c>
      <c r="B11" s="26" t="n">
        <v>5015</v>
      </c>
    </row>
    <row r="12">
      <c r="A12" t="inlineStr">
        <is>
          <t>Annual Interest Rate</t>
        </is>
      </c>
      <c r="B12" s="6" t="n">
        <v>0.0397</v>
      </c>
    </row>
    <row r="13">
      <c r="A13" t="inlineStr">
        <is>
          <t>Loan Type</t>
        </is>
      </c>
      <c r="B13" s="4" t="inlineStr">
        <is>
          <t>AMORTIZING</t>
        </is>
      </c>
    </row>
    <row r="15">
      <c r="A15" s="2" t="inlineStr">
        <is>
          <t>AI ANALYSIS</t>
        </is>
      </c>
    </row>
    <row r="16">
      <c r="A16" s="9" t="inlineStr">
        <is>
          <t>Loan Classification</t>
        </is>
      </c>
      <c r="B16" s="9" t="inlineStr">
        <is>
          <t>AMORTIZING - Equipment Finance</t>
        </is>
      </c>
    </row>
    <row r="17">
      <c r="A17" s="9" t="inlineStr">
        <is>
          <t>Months Remaining</t>
        </is>
      </c>
      <c r="B17" s="9" t="inlineStr">
        <is>
          <t>24 months</t>
        </is>
      </c>
    </row>
    <row r="18">
      <c r="A18" s="9" t="inlineStr">
        <is>
          <t>Amortization Method</t>
        </is>
      </c>
      <c r="B18" s="9" t="inlineStr">
        <is>
          <t>Standard monthly principal + interest</t>
        </is>
      </c>
    </row>
    <row r="19">
      <c r="A19" s="9" t="inlineStr">
        <is>
          <t>Notes</t>
        </is>
      </c>
      <c r="B19" s="9" t="inlineStr">
        <is>
          <t>Standard equipment loan, no special terms noted</t>
        </is>
      </c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21" t="n">
        <v>1</v>
      </c>
      <c r="B23" s="21" t="inlineStr">
        <is>
          <t>2026-01-01</t>
        </is>
      </c>
      <c r="C23" s="13">
        <f>$B$10</f>
        <v/>
      </c>
      <c r="D23" s="13">
        <f>MAX(0,C23*$B$12/12)</f>
        <v/>
      </c>
      <c r="E23" s="13">
        <f>MAX(0,MIN(C23,$B$11-D23))</f>
        <v/>
      </c>
      <c r="F23" s="13">
        <f>MAX(0,C23-E23)</f>
        <v/>
      </c>
    </row>
    <row r="24">
      <c r="A24" s="21" t="n">
        <v>2</v>
      </c>
      <c r="B24" s="21" t="inlineStr">
        <is>
          <t>2026-02-01</t>
        </is>
      </c>
      <c r="C24" s="13">
        <f>F23</f>
        <v/>
      </c>
      <c r="D24" s="13">
        <f>MAX(0,C24*$B$12/12)</f>
        <v/>
      </c>
      <c r="E24" s="13">
        <f>MAX(0,MIN(C24,$B$11-D24))</f>
        <v/>
      </c>
      <c r="F24" s="13">
        <f>MAX(0,C24-E24)</f>
        <v/>
      </c>
    </row>
    <row r="25">
      <c r="A25" s="21" t="n">
        <v>3</v>
      </c>
      <c r="B25" s="21" t="inlineStr">
        <is>
          <t>2026-03-01</t>
        </is>
      </c>
      <c r="C25" s="13">
        <f>F24</f>
        <v/>
      </c>
      <c r="D25" s="13">
        <f>MAX(0,C25*$B$12/12)</f>
        <v/>
      </c>
      <c r="E25" s="13">
        <f>MAX(0,MIN(C25,$B$11-D25))</f>
        <v/>
      </c>
      <c r="F25" s="13">
        <f>MAX(0,C25-E25)</f>
        <v/>
      </c>
    </row>
    <row r="26">
      <c r="A26" s="21" t="n">
        <v>4</v>
      </c>
      <c r="B26" s="21" t="inlineStr">
        <is>
          <t>2026-04-01</t>
        </is>
      </c>
      <c r="C26" s="13">
        <f>F25</f>
        <v/>
      </c>
      <c r="D26" s="13">
        <f>MAX(0,C26*$B$12/12)</f>
        <v/>
      </c>
      <c r="E26" s="13">
        <f>MAX(0,MIN(C26,$B$11-D26))</f>
        <v/>
      </c>
      <c r="F26" s="13">
        <f>MAX(0,C26-E26)</f>
        <v/>
      </c>
    </row>
    <row r="27">
      <c r="A27" s="21" t="n">
        <v>5</v>
      </c>
      <c r="B27" s="21" t="inlineStr">
        <is>
          <t>2026-05-01</t>
        </is>
      </c>
      <c r="C27" s="13">
        <f>F26</f>
        <v/>
      </c>
      <c r="D27" s="13">
        <f>MAX(0,C27*$B$12/12)</f>
        <v/>
      </c>
      <c r="E27" s="13">
        <f>MAX(0,MIN(C27,$B$11-D27))</f>
        <v/>
      </c>
      <c r="F27" s="13">
        <f>MAX(0,C27-E27)</f>
        <v/>
      </c>
    </row>
    <row r="28">
      <c r="A28" s="21" t="n">
        <v>6</v>
      </c>
      <c r="B28" s="21" t="inlineStr">
        <is>
          <t>2026-06-01</t>
        </is>
      </c>
      <c r="C28" s="13">
        <f>F27</f>
        <v/>
      </c>
      <c r="D28" s="13">
        <f>MAX(0,C28*$B$12/12)</f>
        <v/>
      </c>
      <c r="E28" s="13">
        <f>MAX(0,MIN(C28,$B$11-D28))</f>
        <v/>
      </c>
      <c r="F28" s="13">
        <f>MAX(0,C28-E28)</f>
        <v/>
      </c>
    </row>
    <row r="29">
      <c r="A29" s="21" t="n">
        <v>7</v>
      </c>
      <c r="B29" s="21" t="inlineStr">
        <is>
          <t>2026-07-01</t>
        </is>
      </c>
      <c r="C29" s="13">
        <f>F28</f>
        <v/>
      </c>
      <c r="D29" s="13">
        <f>MAX(0,C29*$B$12/12)</f>
        <v/>
      </c>
      <c r="E29" s="13">
        <f>MAX(0,MIN(C29,$B$11-D29))</f>
        <v/>
      </c>
      <c r="F29" s="13">
        <f>MAX(0,C29-E29)</f>
        <v/>
      </c>
    </row>
    <row r="30">
      <c r="A30" s="21" t="n">
        <v>8</v>
      </c>
      <c r="B30" s="21" t="inlineStr">
        <is>
          <t>2026-08-01</t>
        </is>
      </c>
      <c r="C30" s="13">
        <f>F29</f>
        <v/>
      </c>
      <c r="D30" s="13">
        <f>MAX(0,C30*$B$12/12)</f>
        <v/>
      </c>
      <c r="E30" s="13">
        <f>MAX(0,MIN(C30,$B$11-D30))</f>
        <v/>
      </c>
      <c r="F30" s="13">
        <f>MAX(0,C30-E30)</f>
        <v/>
      </c>
    </row>
    <row r="31">
      <c r="A31" s="21" t="n">
        <v>9</v>
      </c>
      <c r="B31" s="21" t="inlineStr">
        <is>
          <t>2026-09-01</t>
        </is>
      </c>
      <c r="C31" s="13">
        <f>F30</f>
        <v/>
      </c>
      <c r="D31" s="13">
        <f>MAX(0,C31*$B$12/12)</f>
        <v/>
      </c>
      <c r="E31" s="13">
        <f>MAX(0,MIN(C31,$B$11-D31))</f>
        <v/>
      </c>
      <c r="F31" s="13">
        <f>MAX(0,C31-E31)</f>
        <v/>
      </c>
    </row>
    <row r="32">
      <c r="A32" s="21" t="n">
        <v>10</v>
      </c>
      <c r="B32" s="21" t="inlineStr">
        <is>
          <t>2026-10-01</t>
        </is>
      </c>
      <c r="C32" s="13">
        <f>F31</f>
        <v/>
      </c>
      <c r="D32" s="13">
        <f>MAX(0,C32*$B$12/12)</f>
        <v/>
      </c>
      <c r="E32" s="13">
        <f>MAX(0,MIN(C32,$B$11-D32))</f>
        <v/>
      </c>
      <c r="F32" s="13">
        <f>MAX(0,C32-E32)</f>
        <v/>
      </c>
    </row>
    <row r="33">
      <c r="A33" s="21" t="n">
        <v>11</v>
      </c>
      <c r="B33" s="21" t="inlineStr">
        <is>
          <t>2026-11-01</t>
        </is>
      </c>
      <c r="C33" s="13">
        <f>F32</f>
        <v/>
      </c>
      <c r="D33" s="13">
        <f>MAX(0,C33*$B$12/12)</f>
        <v/>
      </c>
      <c r="E33" s="13">
        <f>MAX(0,MIN(C33,$B$11-D33))</f>
        <v/>
      </c>
      <c r="F33" s="13">
        <f>MAX(0,C33-E33)</f>
        <v/>
      </c>
    </row>
    <row r="34">
      <c r="A34" s="21" t="n">
        <v>12</v>
      </c>
      <c r="B34" s="21" t="inlineStr">
        <is>
          <t>2026-12-01</t>
        </is>
      </c>
      <c r="C34" s="13">
        <f>F33</f>
        <v/>
      </c>
      <c r="D34" s="13">
        <f>MAX(0,C34*$B$12/12)</f>
        <v/>
      </c>
      <c r="E34" s="13">
        <f>MAX(0,MIN(C34,$B$11-D34))</f>
        <v/>
      </c>
      <c r="F34" s="13">
        <f>MAX(0,C34-E34)</f>
        <v/>
      </c>
    </row>
    <row r="35">
      <c r="A35" s="21" t="n">
        <v>13</v>
      </c>
      <c r="B35" s="21" t="inlineStr">
        <is>
          <t>2027-01-01</t>
        </is>
      </c>
      <c r="C35" s="13">
        <f>F34</f>
        <v/>
      </c>
      <c r="D35" s="13">
        <f>MAX(0,C35*$B$12/12)</f>
        <v/>
      </c>
      <c r="E35" s="13">
        <f>MAX(0,MIN(C35,$B$11-D35))</f>
        <v/>
      </c>
      <c r="F35" s="13">
        <f>MAX(0,C35-E35)</f>
        <v/>
      </c>
    </row>
    <row r="36">
      <c r="A36" s="21" t="n">
        <v>14</v>
      </c>
      <c r="B36" s="21" t="inlineStr">
        <is>
          <t>2027-02-01</t>
        </is>
      </c>
      <c r="C36" s="13">
        <f>F35</f>
        <v/>
      </c>
      <c r="D36" s="13">
        <f>MAX(0,C36*$B$12/12)</f>
        <v/>
      </c>
      <c r="E36" s="13">
        <f>MAX(0,MIN(C36,$B$11-D36))</f>
        <v/>
      </c>
      <c r="F36" s="13">
        <f>MAX(0,C36-E36)</f>
        <v/>
      </c>
    </row>
    <row r="37">
      <c r="A37" s="21" t="n">
        <v>15</v>
      </c>
      <c r="B37" s="21" t="inlineStr">
        <is>
          <t>2027-03-01</t>
        </is>
      </c>
      <c r="C37" s="13">
        <f>F36</f>
        <v/>
      </c>
      <c r="D37" s="13">
        <f>MAX(0,C37*$B$12/12)</f>
        <v/>
      </c>
      <c r="E37" s="13">
        <f>MAX(0,MIN(C37,$B$11-D37))</f>
        <v/>
      </c>
      <c r="F37" s="13">
        <f>MAX(0,C37-E37)</f>
        <v/>
      </c>
    </row>
    <row r="38">
      <c r="A38" s="21" t="n">
        <v>16</v>
      </c>
      <c r="B38" s="21" t="inlineStr">
        <is>
          <t>2027-04-01</t>
        </is>
      </c>
      <c r="C38" s="13">
        <f>F37</f>
        <v/>
      </c>
      <c r="D38" s="13">
        <f>MAX(0,C38*$B$12/12)</f>
        <v/>
      </c>
      <c r="E38" s="13">
        <f>MAX(0,MIN(C38,$B$11-D38))</f>
        <v/>
      </c>
      <c r="F38" s="13">
        <f>MAX(0,C38-E38)</f>
        <v/>
      </c>
    </row>
    <row r="39">
      <c r="A39" s="21" t="n">
        <v>17</v>
      </c>
      <c r="B39" s="21" t="inlineStr">
        <is>
          <t>2027-05-01</t>
        </is>
      </c>
      <c r="C39" s="13">
        <f>F38</f>
        <v/>
      </c>
      <c r="D39" s="13">
        <f>MAX(0,C39*$B$12/12)</f>
        <v/>
      </c>
      <c r="E39" s="13">
        <f>MAX(0,MIN(C39,$B$11-D39))</f>
        <v/>
      </c>
      <c r="F39" s="13">
        <f>MAX(0,C39-E39)</f>
        <v/>
      </c>
    </row>
    <row r="40">
      <c r="A40" s="21" t="n">
        <v>18</v>
      </c>
      <c r="B40" s="21" t="inlineStr">
        <is>
          <t>2027-06-01</t>
        </is>
      </c>
      <c r="C40" s="13">
        <f>F39</f>
        <v/>
      </c>
      <c r="D40" s="13">
        <f>MAX(0,C40*$B$12/12)</f>
        <v/>
      </c>
      <c r="E40" s="13">
        <f>MAX(0,MIN(C40,$B$11-D40))</f>
        <v/>
      </c>
      <c r="F40" s="13">
        <f>MAX(0,C40-E40)</f>
        <v/>
      </c>
    </row>
    <row r="41">
      <c r="A41" s="21" t="n">
        <v>19</v>
      </c>
      <c r="B41" s="21" t="inlineStr">
        <is>
          <t>2027-07-01</t>
        </is>
      </c>
      <c r="C41" s="13">
        <f>F40</f>
        <v/>
      </c>
      <c r="D41" s="13">
        <f>MAX(0,C41*$B$12/12)</f>
        <v/>
      </c>
      <c r="E41" s="13">
        <f>MAX(0,MIN(C41,$B$11-D41))</f>
        <v/>
      </c>
      <c r="F41" s="13">
        <f>MAX(0,C41-E41)</f>
        <v/>
      </c>
    </row>
    <row r="42">
      <c r="A42" s="21" t="n">
        <v>20</v>
      </c>
      <c r="B42" s="21" t="inlineStr">
        <is>
          <t>2027-08-01</t>
        </is>
      </c>
      <c r="C42" s="13">
        <f>F41</f>
        <v/>
      </c>
      <c r="D42" s="13">
        <f>MAX(0,C42*$B$12/12)</f>
        <v/>
      </c>
      <c r="E42" s="13">
        <f>MAX(0,MIN(C42,$B$11-D42))</f>
        <v/>
      </c>
      <c r="F42" s="13">
        <f>MAX(0,C42-E42)</f>
        <v/>
      </c>
    </row>
    <row r="43">
      <c r="A43" s="21" t="n">
        <v>21</v>
      </c>
      <c r="B43" s="21" t="inlineStr">
        <is>
          <t>2027-09-01</t>
        </is>
      </c>
      <c r="C43" s="13">
        <f>F42</f>
        <v/>
      </c>
      <c r="D43" s="13">
        <f>MAX(0,C43*$B$12/12)</f>
        <v/>
      </c>
      <c r="E43" s="13">
        <f>MAX(0,MIN(C43,$B$11-D43))</f>
        <v/>
      </c>
      <c r="F43" s="13">
        <f>MAX(0,C43-E43)</f>
        <v/>
      </c>
    </row>
    <row r="44">
      <c r="A44" s="21" t="n">
        <v>22</v>
      </c>
      <c r="B44" s="21" t="inlineStr">
        <is>
          <t>2027-10-01</t>
        </is>
      </c>
      <c r="C44" s="13">
        <f>F43</f>
        <v/>
      </c>
      <c r="D44" s="13">
        <f>MAX(0,C44*$B$12/12)</f>
        <v/>
      </c>
      <c r="E44" s="13">
        <f>MAX(0,MIN(C44,$B$11-D44))</f>
        <v/>
      </c>
      <c r="F44" s="13">
        <f>MAX(0,C44-E44)</f>
        <v/>
      </c>
    </row>
    <row r="45">
      <c r="A45" s="21" t="n">
        <v>23</v>
      </c>
      <c r="B45" s="21" t="inlineStr">
        <is>
          <t>2027-11-01</t>
        </is>
      </c>
      <c r="C45" s="13">
        <f>F44</f>
        <v/>
      </c>
      <c r="D45" s="13">
        <f>MAX(0,C45*$B$12/12)</f>
        <v/>
      </c>
      <c r="E45" s="13">
        <f>MAX(0,MIN(C45,$B$11-D45))</f>
        <v/>
      </c>
      <c r="F45" s="13">
        <f>MAX(0,C45-E45)</f>
        <v/>
      </c>
    </row>
    <row r="46">
      <c r="A46" s="21" t="n">
        <v>24</v>
      </c>
      <c r="B46" s="21" t="inlineStr">
        <is>
          <t>2027-12-01</t>
        </is>
      </c>
      <c r="C46" s="13">
        <f>F45</f>
        <v/>
      </c>
      <c r="D46" s="13">
        <f>MAX(0,C46*$B$12/12)</f>
        <v/>
      </c>
      <c r="E46" s="13">
        <f>MAX(0,MIN(C46,$B$11-D46))</f>
        <v/>
      </c>
      <c r="F46" s="13">
        <f>MAX(0,C46-E46)</f>
        <v/>
      </c>
    </row>
    <row r="47">
      <c r="A47" s="21" t="n">
        <v>25</v>
      </c>
      <c r="B47" s="21" t="inlineStr">
        <is>
          <t>2028-01-01</t>
        </is>
      </c>
      <c r="C47" s="13">
        <f>F46</f>
        <v/>
      </c>
      <c r="D47" s="13">
        <f>MAX(0,C47*$B$12/12)</f>
        <v/>
      </c>
      <c r="E47" s="13">
        <f>MAX(0,MIN(C47,$B$11-D47))</f>
        <v/>
      </c>
      <c r="F47" s="13">
        <f>MAX(0,C47-E47)</f>
        <v/>
      </c>
    </row>
    <row r="48">
      <c r="A48" s="21" t="n">
        <v>26</v>
      </c>
      <c r="B48" s="21" t="inlineStr">
        <is>
          <t>2028-02-01</t>
        </is>
      </c>
      <c r="C48" s="13">
        <f>F47</f>
        <v/>
      </c>
      <c r="D48" s="13">
        <f>MAX(0,C48*$B$12/12)</f>
        <v/>
      </c>
      <c r="E48" s="13">
        <f>MAX(0,MIN(C48,$B$11-D48))</f>
        <v/>
      </c>
      <c r="F48" s="13">
        <f>MAX(0,C48-E48)</f>
        <v/>
      </c>
    </row>
    <row r="49">
      <c r="A49" s="21" t="n">
        <v>27</v>
      </c>
      <c r="B49" s="21" t="inlineStr">
        <is>
          <t>2028-03-01</t>
        </is>
      </c>
      <c r="C49" s="13">
        <f>F48</f>
        <v/>
      </c>
      <c r="D49" s="13">
        <f>MAX(0,C49*$B$12/12)</f>
        <v/>
      </c>
      <c r="E49" s="13">
        <f>MAX(0,MIN(C49,$B$11-D49))</f>
        <v/>
      </c>
      <c r="F49" s="13">
        <f>MAX(0,C49-E49)</f>
        <v/>
      </c>
    </row>
    <row r="50">
      <c r="A50" s="21" t="n">
        <v>28</v>
      </c>
      <c r="B50" s="21" t="inlineStr">
        <is>
          <t>2028-04-01</t>
        </is>
      </c>
      <c r="C50" s="13">
        <f>F49</f>
        <v/>
      </c>
      <c r="D50" s="13">
        <f>MAX(0,C50*$B$12/12)</f>
        <v/>
      </c>
      <c r="E50" s="13">
        <f>MAX(0,MIN(C50,$B$11-D50))</f>
        <v/>
      </c>
      <c r="F50" s="13">
        <f>MAX(0,C50-E50)</f>
        <v/>
      </c>
    </row>
    <row r="51">
      <c r="A51" s="21" t="n">
        <v>29</v>
      </c>
      <c r="B51" s="21" t="inlineStr">
        <is>
          <t>2028-05-01</t>
        </is>
      </c>
      <c r="C51" s="13">
        <f>F50</f>
        <v/>
      </c>
      <c r="D51" s="13">
        <f>MAX(0,C51*$B$12/12)</f>
        <v/>
      </c>
      <c r="E51" s="13">
        <f>MAX(0,MIN(C51,$B$11-D51))</f>
        <v/>
      </c>
      <c r="F51" s="13">
        <f>MAX(0,C51-E51)</f>
        <v/>
      </c>
    </row>
    <row r="52">
      <c r="A52" s="21" t="n">
        <v>30</v>
      </c>
      <c r="B52" s="21" t="inlineStr">
        <is>
          <t>2028-06-01</t>
        </is>
      </c>
      <c r="C52" s="13">
        <f>F51</f>
        <v/>
      </c>
      <c r="D52" s="13">
        <f>MAX(0,C52*$B$12/12)</f>
        <v/>
      </c>
      <c r="E52" s="13">
        <f>MAX(0,MIN(C52,$B$11-D52))</f>
        <v/>
      </c>
      <c r="F52" s="13">
        <f>MAX(0,C52-E52)</f>
        <v/>
      </c>
    </row>
    <row r="55">
      <c r="A55" s="2" t="inlineStr">
        <is>
          <t>ANNUAL SUMMARY</t>
        </is>
      </c>
    </row>
    <row r="56">
      <c r="A56" s="30" t="inlineStr">
        <is>
          <t>Year</t>
        </is>
      </c>
      <c r="B56" s="30" t="inlineStr">
        <is>
          <t>Beginning Balance</t>
        </is>
      </c>
      <c r="C56" s="30" t="inlineStr">
        <is>
          <t>Total Interest</t>
        </is>
      </c>
      <c r="D56" s="30" t="inlineStr">
        <is>
          <t>Total Principal</t>
        </is>
      </c>
      <c r="E56" s="30" t="inlineStr">
        <is>
          <t>Ending Balance</t>
        </is>
      </c>
      <c r="F56" s="30" t="inlineStr"/>
    </row>
    <row r="57">
      <c r="A57" s="21" t="n">
        <v>2026</v>
      </c>
      <c r="B57" s="13">
        <f>C23</f>
        <v/>
      </c>
      <c r="C57" s="13">
        <f>SUM(D23:D34)</f>
        <v/>
      </c>
      <c r="D57" s="13">
        <f>SUM(E23:E34)</f>
        <v/>
      </c>
      <c r="E57" s="13">
        <f>F34</f>
        <v/>
      </c>
    </row>
    <row r="58">
      <c r="A58" s="21" t="n">
        <v>2027</v>
      </c>
      <c r="B58" s="13">
        <f>C35</f>
        <v/>
      </c>
      <c r="C58" s="13">
        <f>SUM(D35:D46)</f>
        <v/>
      </c>
      <c r="D58" s="13">
        <f>SUM(E35:E46)</f>
        <v/>
      </c>
      <c r="E58" s="13">
        <f>F46</f>
        <v/>
      </c>
    </row>
    <row r="59">
      <c r="A59" s="21" t="n">
        <v>2028</v>
      </c>
      <c r="B59" s="13">
        <f>C47</f>
        <v/>
      </c>
      <c r="C59" s="13">
        <f>SUM(D47:D52)</f>
        <v/>
      </c>
      <c r="D59" s="13">
        <f>SUM(E47:E52)</f>
        <v/>
      </c>
      <c r="E59" s="13">
        <f>F52</f>
        <v/>
      </c>
    </row>
    <row r="62">
      <c r="A62" t="inlineStr">
        <is>
          <t>Current Balance (link target)</t>
        </is>
      </c>
      <c r="B62" s="31">
        <f>$B$10</f>
        <v/>
      </c>
    </row>
  </sheetData>
  <mergeCells count="3">
    <mergeCell ref="A1:C1"/>
    <mergeCell ref="A55:F55"/>
    <mergeCell ref="A15:C15"/>
  </mergeCells>
  <pageMargins left="0.75" right="0.75" top="1" bottom="1" header="0.5" footer="0.5"/>
  <legacyDrawing xmlns:r="http://schemas.openxmlformats.org/officeDocument/2006/relationships" r:id="anysvml"/>
</worksheet>
</file>

<file path=xl/worksheets/sheet78.xml><?xml version="1.0" encoding="utf-8"?>
<worksheet xmlns="http://schemas.openxmlformats.org/spreadsheetml/2006/main">
  <sheetPr>
    <tabColor rgb="00808080"/>
    <outlinePr summaryBelow="1" summaryRight="1"/>
    <pageSetUpPr/>
  </sheetPr>
  <dimension ref="A1:F47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2" t="inlineStr">
        <is>
          <t>LOAN DETAILS</t>
        </is>
      </c>
    </row>
    <row r="2">
      <c r="A2" t="inlineStr">
        <is>
          <t>Lender</t>
        </is>
      </c>
      <c r="B2" t="inlineStr">
        <is>
          <t>Constellation</t>
        </is>
      </c>
    </row>
    <row r="3">
      <c r="A3" t="inlineStr">
        <is>
          <t>Loan ID</t>
        </is>
      </c>
      <c r="B3" t="inlineStr">
        <is>
          <t>08-2925-000-000-00</t>
        </is>
      </c>
    </row>
    <row r="4">
      <c r="A4" t="inlineStr">
        <is>
          <t>Loan Number</t>
        </is>
      </c>
      <c r="B4" t="inlineStr">
        <is>
          <t>Solar Project</t>
        </is>
      </c>
    </row>
    <row r="5">
      <c r="A5" t="inlineStr">
        <is>
          <t>Description</t>
        </is>
      </c>
      <c r="B5" t="inlineStr">
        <is>
          <t>11th St - Solar (MH3)</t>
        </is>
      </c>
    </row>
    <row r="6">
      <c r="A6" t="inlineStr">
        <is>
          <t>Collateral</t>
        </is>
      </c>
      <c r="B6" t="inlineStr">
        <is>
          <t>Warehouse — 11th Street Solar</t>
        </is>
      </c>
    </row>
    <row r="7">
      <c r="A7" t="inlineStr">
        <is>
          <t>Origination Date</t>
        </is>
      </c>
      <c r="B7" t="inlineStr">
        <is>
          <t>12/01/2023</t>
        </is>
      </c>
    </row>
    <row r="8">
      <c r="A8" t="inlineStr">
        <is>
          <t>Maturity Date</t>
        </is>
      </c>
      <c r="B8" t="inlineStr">
        <is>
          <t>03/01/2027</t>
        </is>
      </c>
    </row>
    <row r="9">
      <c r="A9" t="inlineStr">
        <is>
          <t>Loan Type</t>
        </is>
      </c>
      <c r="B9" t="inlineStr">
        <is>
          <t>FIXED_FEE</t>
        </is>
      </c>
    </row>
    <row r="11">
      <c r="A11" s="2" t="inlineStr">
        <is>
          <t>LOAN ASSUMPTIONS</t>
        </is>
      </c>
    </row>
    <row r="12">
      <c r="A12" t="inlineStr">
        <is>
          <t>Opening Balance (12/31/2025)</t>
        </is>
      </c>
      <c r="B12" s="5" t="n">
        <v>229537</v>
      </c>
    </row>
    <row r="13">
      <c r="A13" t="inlineStr">
        <is>
          <t>Interest Rate (Annual)</t>
        </is>
      </c>
      <c r="B13" s="6" t="n">
        <v>0</v>
      </c>
    </row>
    <row r="14">
      <c r="A14" t="inlineStr">
        <is>
          <t>Monthly Payment (Fixed Fee)</t>
        </is>
      </c>
      <c r="B14" s="5" t="n">
        <v>15302</v>
      </c>
    </row>
    <row r="16">
      <c r="A16" s="2" t="inlineStr">
        <is>
          <t>AI ANALYSIS</t>
        </is>
      </c>
    </row>
    <row r="17">
      <c r="A17" s="9" t="inlineStr">
        <is>
          <t>Loan Type: Fixed-Fee Solar PPA/Lease Structure</t>
        </is>
      </c>
    </row>
    <row r="18">
      <c r="A18" s="9" t="inlineStr">
        <is>
          <t>This is NOT a traditional loan - it is a solar power purchase agreement (PPA)</t>
        </is>
      </c>
    </row>
    <row r="19">
      <c r="A19" s="9" t="inlineStr">
        <is>
          <t>or lease where monthly payments represent fixed fees for solar energy services.</t>
        </is>
      </c>
    </row>
    <row r="20">
      <c r="A20" s="9" t="inlineStr">
        <is>
          <t>Interest Rate: 0% - payments are principal-only (fixed fee for service).</t>
        </is>
      </c>
    </row>
    <row r="21">
      <c r="A21" s="9" t="inlineStr">
        <is>
          <t>Monthly payment = $15,302 goes entirely to reducing the obligation balance.</t>
        </is>
      </c>
    </row>
    <row r="22">
      <c r="A22" s="9" t="inlineStr">
        <is>
          <t>No interest expense to recognize - treat as operating lease or service contract.</t>
        </is>
      </c>
    </row>
    <row r="24">
      <c r="A24" s="2" t="inlineStr">
        <is>
          <t>AMORTIZATION SCHEDULE</t>
        </is>
      </c>
    </row>
    <row r="25">
      <c r="A25" s="66" t="inlineStr">
        <is>
          <t>Month #</t>
        </is>
      </c>
      <c r="B25" s="66" t="inlineStr">
        <is>
          <t>Date</t>
        </is>
      </c>
      <c r="C25" s="66" t="inlineStr">
        <is>
          <t>Opening Balance</t>
        </is>
      </c>
      <c r="D25" s="66" t="inlineStr">
        <is>
          <t>Interest</t>
        </is>
      </c>
      <c r="E25" s="66" t="inlineStr">
        <is>
          <t>Principal</t>
        </is>
      </c>
      <c r="F25" s="66" t="inlineStr">
        <is>
          <t>Closing Balance</t>
        </is>
      </c>
    </row>
    <row r="26">
      <c r="A26" t="n">
        <v>1</v>
      </c>
      <c r="B26" t="inlineStr">
        <is>
          <t>01/31/2026</t>
        </is>
      </c>
      <c r="C26" s="39">
        <f>$B$12</f>
        <v/>
      </c>
      <c r="D26" s="39">
        <f>0</f>
        <v/>
      </c>
      <c r="E26" s="39">
        <f>MAX(0,MIN(C26,$B$14))</f>
        <v/>
      </c>
      <c r="F26" s="39">
        <f>MAX(0,C26-E26)</f>
        <v/>
      </c>
    </row>
    <row r="27">
      <c r="A27" t="n">
        <v>2</v>
      </c>
      <c r="B27" t="inlineStr">
        <is>
          <t>02/28/2026</t>
        </is>
      </c>
      <c r="C27" s="39">
        <f>F26</f>
        <v/>
      </c>
      <c r="D27" s="39">
        <f>0</f>
        <v/>
      </c>
      <c r="E27" s="39">
        <f>MAX(0,MIN(C27,$B$14))</f>
        <v/>
      </c>
      <c r="F27" s="39">
        <f>MAX(0,C27-E27)</f>
        <v/>
      </c>
    </row>
    <row r="28">
      <c r="A28" t="n">
        <v>3</v>
      </c>
      <c r="B28" t="inlineStr">
        <is>
          <t>03/31/2026</t>
        </is>
      </c>
      <c r="C28" s="39">
        <f>F27</f>
        <v/>
      </c>
      <c r="D28" s="39">
        <f>0</f>
        <v/>
      </c>
      <c r="E28" s="39">
        <f>MAX(0,MIN(C28,$B$14))</f>
        <v/>
      </c>
      <c r="F28" s="39">
        <f>MAX(0,C28-E28)</f>
        <v/>
      </c>
    </row>
    <row r="29">
      <c r="A29" t="n">
        <v>4</v>
      </c>
      <c r="B29" t="inlineStr">
        <is>
          <t>04/30/2026</t>
        </is>
      </c>
      <c r="C29" s="39">
        <f>F28</f>
        <v/>
      </c>
      <c r="D29" s="39">
        <f>0</f>
        <v/>
      </c>
      <c r="E29" s="39">
        <f>MAX(0,MIN(C29,$B$14))</f>
        <v/>
      </c>
      <c r="F29" s="39">
        <f>MAX(0,C29-E29)</f>
        <v/>
      </c>
    </row>
    <row r="30">
      <c r="A30" t="n">
        <v>5</v>
      </c>
      <c r="B30" t="inlineStr">
        <is>
          <t>05/31/2026</t>
        </is>
      </c>
      <c r="C30" s="39">
        <f>F29</f>
        <v/>
      </c>
      <c r="D30" s="39">
        <f>0</f>
        <v/>
      </c>
      <c r="E30" s="39">
        <f>MAX(0,MIN(C30,$B$14))</f>
        <v/>
      </c>
      <c r="F30" s="39">
        <f>MAX(0,C30-E30)</f>
        <v/>
      </c>
    </row>
    <row r="31">
      <c r="A31" t="n">
        <v>6</v>
      </c>
      <c r="B31" t="inlineStr">
        <is>
          <t>06/30/2026</t>
        </is>
      </c>
      <c r="C31" s="39">
        <f>F30</f>
        <v/>
      </c>
      <c r="D31" s="39">
        <f>0</f>
        <v/>
      </c>
      <c r="E31" s="39">
        <f>MAX(0,MIN(C31,$B$14))</f>
        <v/>
      </c>
      <c r="F31" s="39">
        <f>MAX(0,C31-E31)</f>
        <v/>
      </c>
    </row>
    <row r="32">
      <c r="A32" t="n">
        <v>7</v>
      </c>
      <c r="B32" t="inlineStr">
        <is>
          <t>07/31/2026</t>
        </is>
      </c>
      <c r="C32" s="39">
        <f>F31</f>
        <v/>
      </c>
      <c r="D32" s="39">
        <f>0</f>
        <v/>
      </c>
      <c r="E32" s="39">
        <f>MAX(0,MIN(C32,$B$14))</f>
        <v/>
      </c>
      <c r="F32" s="39">
        <f>MAX(0,C32-E32)</f>
        <v/>
      </c>
    </row>
    <row r="33">
      <c r="A33" t="n">
        <v>8</v>
      </c>
      <c r="B33" t="inlineStr">
        <is>
          <t>08/31/2026</t>
        </is>
      </c>
      <c r="C33" s="39">
        <f>F32</f>
        <v/>
      </c>
      <c r="D33" s="39">
        <f>0</f>
        <v/>
      </c>
      <c r="E33" s="39">
        <f>MAX(0,MIN(C33,$B$14))</f>
        <v/>
      </c>
      <c r="F33" s="39">
        <f>MAX(0,C33-E33)</f>
        <v/>
      </c>
    </row>
    <row r="34">
      <c r="A34" t="n">
        <v>9</v>
      </c>
      <c r="B34" t="inlineStr">
        <is>
          <t>09/30/2026</t>
        </is>
      </c>
      <c r="C34" s="39">
        <f>F33</f>
        <v/>
      </c>
      <c r="D34" s="39">
        <f>0</f>
        <v/>
      </c>
      <c r="E34" s="39">
        <f>MAX(0,MIN(C34,$B$14))</f>
        <v/>
      </c>
      <c r="F34" s="39">
        <f>MAX(0,C34-E34)</f>
        <v/>
      </c>
    </row>
    <row r="35">
      <c r="A35" t="n">
        <v>10</v>
      </c>
      <c r="B35" t="inlineStr">
        <is>
          <t>10/31/2026</t>
        </is>
      </c>
      <c r="C35" s="39">
        <f>F34</f>
        <v/>
      </c>
      <c r="D35" s="39">
        <f>0</f>
        <v/>
      </c>
      <c r="E35" s="39">
        <f>MAX(0,MIN(C35,$B$14))</f>
        <v/>
      </c>
      <c r="F35" s="39">
        <f>MAX(0,C35-E35)</f>
        <v/>
      </c>
    </row>
    <row r="36">
      <c r="A36" t="n">
        <v>11</v>
      </c>
      <c r="B36" t="inlineStr">
        <is>
          <t>11/30/2026</t>
        </is>
      </c>
      <c r="C36" s="39">
        <f>F35</f>
        <v/>
      </c>
      <c r="D36" s="39">
        <f>0</f>
        <v/>
      </c>
      <c r="E36" s="39">
        <f>MAX(0,MIN(C36,$B$14))</f>
        <v/>
      </c>
      <c r="F36" s="39">
        <f>MAX(0,C36-E36)</f>
        <v/>
      </c>
    </row>
    <row r="37">
      <c r="A37" t="n">
        <v>12</v>
      </c>
      <c r="B37" t="inlineStr">
        <is>
          <t>12/31/2026</t>
        </is>
      </c>
      <c r="C37" s="39">
        <f>F36</f>
        <v/>
      </c>
      <c r="D37" s="39">
        <f>0</f>
        <v/>
      </c>
      <c r="E37" s="39">
        <f>MAX(0,MIN(C37,$B$14))</f>
        <v/>
      </c>
      <c r="F37" s="39">
        <f>MAX(0,C37-E37)</f>
        <v/>
      </c>
    </row>
    <row r="38">
      <c r="A38" t="n">
        <v>13</v>
      </c>
      <c r="B38" t="inlineStr">
        <is>
          <t>01/31/2027</t>
        </is>
      </c>
      <c r="C38" s="39">
        <f>F37</f>
        <v/>
      </c>
      <c r="D38" s="39">
        <f>0</f>
        <v/>
      </c>
      <c r="E38" s="39">
        <f>MAX(0,MIN(C38,$B$14))</f>
        <v/>
      </c>
      <c r="F38" s="39">
        <f>MAX(0,C38-E38)</f>
        <v/>
      </c>
    </row>
    <row r="39">
      <c r="A39" t="n">
        <v>14</v>
      </c>
      <c r="B39" t="inlineStr">
        <is>
          <t>02/28/2027</t>
        </is>
      </c>
      <c r="C39" s="39">
        <f>F38</f>
        <v/>
      </c>
      <c r="D39" s="39">
        <f>0</f>
        <v/>
      </c>
      <c r="E39" s="39">
        <f>MAX(0,MIN(C39,$B$14))</f>
        <v/>
      </c>
      <c r="F39" s="39">
        <f>MAX(0,C39-E39)</f>
        <v/>
      </c>
    </row>
    <row r="40">
      <c r="A40" t="n">
        <v>15</v>
      </c>
      <c r="B40" t="inlineStr">
        <is>
          <t>03/31/2027</t>
        </is>
      </c>
      <c r="C40" s="39">
        <f>F39</f>
        <v/>
      </c>
      <c r="D40" s="39">
        <f>0</f>
        <v/>
      </c>
      <c r="E40" s="39">
        <f>MAX(0,MIN(C40,$B$14))</f>
        <v/>
      </c>
      <c r="F40" s="39">
        <f>MAX(0,C40-E40)</f>
        <v/>
      </c>
    </row>
    <row r="42">
      <c r="A42" s="2" t="inlineStr">
        <is>
          <t>ANNUAL SUMMARY</t>
        </is>
      </c>
    </row>
    <row r="43">
      <c r="A43" s="66" t="inlineStr">
        <is>
          <t>Year</t>
        </is>
      </c>
      <c r="B43" s="66" t="inlineStr"/>
      <c r="C43" s="66" t="inlineStr">
        <is>
          <t>Ending Balance</t>
        </is>
      </c>
      <c r="D43" s="66" t="inlineStr">
        <is>
          <t>Interest Expense</t>
        </is>
      </c>
      <c r="E43" s="66" t="inlineStr">
        <is>
          <t>Principal Paid</t>
        </is>
      </c>
      <c r="F43" s="66" t="inlineStr"/>
    </row>
    <row r="44">
      <c r="A44" t="n">
        <v>2026</v>
      </c>
      <c r="C44" s="76">
        <f>F37</f>
        <v/>
      </c>
      <c r="D44" s="76">
        <f>D26+D27+D28+D29+D30+D31+D32+D33+D34+D35+D36+D37</f>
        <v/>
      </c>
      <c r="E44" s="76">
        <f>E26+E27+E28+E29+E30+E31+E32+E33+E34+E35+E36+E37</f>
        <v/>
      </c>
    </row>
    <row r="45">
      <c r="A45" t="n">
        <v>2027</v>
      </c>
      <c r="C45" s="76">
        <f>F40</f>
        <v/>
      </c>
      <c r="D45" s="76">
        <f>D38+D39+D40</f>
        <v/>
      </c>
      <c r="E45" s="76">
        <f>E38+E39+E40</f>
        <v/>
      </c>
    </row>
    <row r="47">
      <c r="A47" t="inlineStr">
        <is>
          <t>Current Balance (12/31/2025)</t>
        </is>
      </c>
      <c r="B47" s="77">
        <f>$B$12</f>
        <v/>
      </c>
    </row>
  </sheetData>
  <mergeCells count="11">
    <mergeCell ref="A24:F24"/>
    <mergeCell ref="A16:F16"/>
    <mergeCell ref="A11:F11"/>
    <mergeCell ref="A42:F42"/>
    <mergeCell ref="A19:F19"/>
    <mergeCell ref="A1:F1"/>
    <mergeCell ref="A22:F22"/>
    <mergeCell ref="A17:F17"/>
    <mergeCell ref="A18:F18"/>
    <mergeCell ref="A20:F20"/>
    <mergeCell ref="A21:F21"/>
  </mergeCells>
  <pageMargins left="0.75" right="0.75" top="1" bottom="1" header="0.5" footer="0.5"/>
  <legacyDrawing xmlns:r="http://schemas.openxmlformats.org/officeDocument/2006/relationships" r:id="anysvml"/>
</worksheet>
</file>

<file path=xl/worksheets/sheet79.xml><?xml version="1.0" encoding="utf-8"?>
<worksheet xmlns="http://schemas.openxmlformats.org/spreadsheetml/2006/main">
  <sheetPr>
    <tabColor rgb="00808080"/>
    <outlinePr summaryBelow="1" summaryRight="1"/>
    <pageSetUpPr/>
  </sheetPr>
  <dimension ref="A1:F47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2" t="inlineStr">
        <is>
          <t>LOAN DETAILS</t>
        </is>
      </c>
    </row>
    <row r="2">
      <c r="A2" t="inlineStr">
        <is>
          <t>Lender</t>
        </is>
      </c>
      <c r="B2" t="inlineStr">
        <is>
          <t>Constellation</t>
        </is>
      </c>
    </row>
    <row r="3">
      <c r="A3" t="inlineStr">
        <is>
          <t>Loan ID</t>
        </is>
      </c>
      <c r="B3" t="inlineStr">
        <is>
          <t>10-2925-000-000-00</t>
        </is>
      </c>
    </row>
    <row r="4">
      <c r="A4" t="inlineStr">
        <is>
          <t>Loan Number</t>
        </is>
      </c>
      <c r="B4" t="inlineStr">
        <is>
          <t>Solar Project</t>
        </is>
      </c>
    </row>
    <row r="5">
      <c r="A5" t="inlineStr">
        <is>
          <t>Description</t>
        </is>
      </c>
      <c r="B5" t="inlineStr">
        <is>
          <t>Harrison - Solar (MH5)</t>
        </is>
      </c>
    </row>
    <row r="6">
      <c r="A6" t="inlineStr">
        <is>
          <t>Collateral</t>
        </is>
      </c>
      <c r="B6" t="inlineStr">
        <is>
          <t>Warehouse — Harrison Solar</t>
        </is>
      </c>
    </row>
    <row r="7">
      <c r="A7" t="inlineStr">
        <is>
          <t>Origination Date</t>
        </is>
      </c>
      <c r="B7" t="inlineStr">
        <is>
          <t>12/01/2023</t>
        </is>
      </c>
    </row>
    <row r="8">
      <c r="A8" t="inlineStr">
        <is>
          <t>Maturity Date</t>
        </is>
      </c>
      <c r="B8" t="inlineStr">
        <is>
          <t>03/01/2027</t>
        </is>
      </c>
    </row>
    <row r="9">
      <c r="A9" t="inlineStr">
        <is>
          <t>Loan Type</t>
        </is>
      </c>
      <c r="B9" t="inlineStr">
        <is>
          <t>FIXED_FEE</t>
        </is>
      </c>
    </row>
    <row r="11">
      <c r="A11" s="2" t="inlineStr">
        <is>
          <t>LOAN ASSUMPTIONS</t>
        </is>
      </c>
    </row>
    <row r="12">
      <c r="A12" t="inlineStr">
        <is>
          <t>Opening Balance (12/31/2025)</t>
        </is>
      </c>
      <c r="B12" s="5" t="n">
        <v>173163</v>
      </c>
    </row>
    <row r="13">
      <c r="A13" t="inlineStr">
        <is>
          <t>Interest Rate (Annual)</t>
        </is>
      </c>
      <c r="B13" s="6" t="n">
        <v>0</v>
      </c>
    </row>
    <row r="14">
      <c r="A14" t="inlineStr">
        <is>
          <t>Monthly Payment (Fixed Fee)</t>
        </is>
      </c>
      <c r="B14" s="5" t="n">
        <v>11544</v>
      </c>
    </row>
    <row r="16">
      <c r="A16" s="2" t="inlineStr">
        <is>
          <t>AI ANALYSIS</t>
        </is>
      </c>
    </row>
    <row r="17">
      <c r="A17" s="9" t="inlineStr">
        <is>
          <t>Loan Type: Fixed-Fee Solar PPA/Lease Structure</t>
        </is>
      </c>
    </row>
    <row r="18">
      <c r="A18" s="9" t="inlineStr">
        <is>
          <t>This is NOT a traditional loan - it is a solar power purchase agreement (PPA)</t>
        </is>
      </c>
    </row>
    <row r="19">
      <c r="A19" s="9" t="inlineStr">
        <is>
          <t>or lease where monthly payments represent fixed fees for solar energy services.</t>
        </is>
      </c>
    </row>
    <row r="20">
      <c r="A20" s="9" t="inlineStr">
        <is>
          <t>Interest Rate: 0% - payments are principal-only (fixed fee for service).</t>
        </is>
      </c>
    </row>
    <row r="21">
      <c r="A21" s="9" t="inlineStr">
        <is>
          <t>Monthly payment = $11,544 goes entirely to reducing the obligation balance.</t>
        </is>
      </c>
    </row>
    <row r="22">
      <c r="A22" s="9" t="inlineStr">
        <is>
          <t>No interest expense to recognize - treat as operating lease or service contract.</t>
        </is>
      </c>
    </row>
    <row r="24">
      <c r="A24" s="2" t="inlineStr">
        <is>
          <t>AMORTIZATION SCHEDULE</t>
        </is>
      </c>
    </row>
    <row r="25">
      <c r="A25" s="66" t="inlineStr">
        <is>
          <t>Month #</t>
        </is>
      </c>
      <c r="B25" s="66" t="inlineStr">
        <is>
          <t>Date</t>
        </is>
      </c>
      <c r="C25" s="66" t="inlineStr">
        <is>
          <t>Opening Balance</t>
        </is>
      </c>
      <c r="D25" s="66" t="inlineStr">
        <is>
          <t>Interest</t>
        </is>
      </c>
      <c r="E25" s="66" t="inlineStr">
        <is>
          <t>Principal</t>
        </is>
      </c>
      <c r="F25" s="66" t="inlineStr">
        <is>
          <t>Closing Balance</t>
        </is>
      </c>
    </row>
    <row r="26">
      <c r="A26" t="n">
        <v>1</v>
      </c>
      <c r="B26" t="inlineStr">
        <is>
          <t>01/31/2026</t>
        </is>
      </c>
      <c r="C26" s="39">
        <f>$B$12</f>
        <v/>
      </c>
      <c r="D26" s="39">
        <f>0</f>
        <v/>
      </c>
      <c r="E26" s="39">
        <f>MAX(0,MIN(C26,$B$14))</f>
        <v/>
      </c>
      <c r="F26" s="39">
        <f>MAX(0,C26-E26)</f>
        <v/>
      </c>
    </row>
    <row r="27">
      <c r="A27" t="n">
        <v>2</v>
      </c>
      <c r="B27" t="inlineStr">
        <is>
          <t>02/28/2026</t>
        </is>
      </c>
      <c r="C27" s="39">
        <f>F26</f>
        <v/>
      </c>
      <c r="D27" s="39">
        <f>0</f>
        <v/>
      </c>
      <c r="E27" s="39">
        <f>MAX(0,MIN(C27,$B$14))</f>
        <v/>
      </c>
      <c r="F27" s="39">
        <f>MAX(0,C27-E27)</f>
        <v/>
      </c>
    </row>
    <row r="28">
      <c r="A28" t="n">
        <v>3</v>
      </c>
      <c r="B28" t="inlineStr">
        <is>
          <t>03/31/2026</t>
        </is>
      </c>
      <c r="C28" s="39">
        <f>F27</f>
        <v/>
      </c>
      <c r="D28" s="39">
        <f>0</f>
        <v/>
      </c>
      <c r="E28" s="39">
        <f>MAX(0,MIN(C28,$B$14))</f>
        <v/>
      </c>
      <c r="F28" s="39">
        <f>MAX(0,C28-E28)</f>
        <v/>
      </c>
    </row>
    <row r="29">
      <c r="A29" t="n">
        <v>4</v>
      </c>
      <c r="B29" t="inlineStr">
        <is>
          <t>04/30/2026</t>
        </is>
      </c>
      <c r="C29" s="39">
        <f>F28</f>
        <v/>
      </c>
      <c r="D29" s="39">
        <f>0</f>
        <v/>
      </c>
      <c r="E29" s="39">
        <f>MAX(0,MIN(C29,$B$14))</f>
        <v/>
      </c>
      <c r="F29" s="39">
        <f>MAX(0,C29-E29)</f>
        <v/>
      </c>
    </row>
    <row r="30">
      <c r="A30" t="n">
        <v>5</v>
      </c>
      <c r="B30" t="inlineStr">
        <is>
          <t>05/31/2026</t>
        </is>
      </c>
      <c r="C30" s="39">
        <f>F29</f>
        <v/>
      </c>
      <c r="D30" s="39">
        <f>0</f>
        <v/>
      </c>
      <c r="E30" s="39">
        <f>MAX(0,MIN(C30,$B$14))</f>
        <v/>
      </c>
      <c r="F30" s="39">
        <f>MAX(0,C30-E30)</f>
        <v/>
      </c>
    </row>
    <row r="31">
      <c r="A31" t="n">
        <v>6</v>
      </c>
      <c r="B31" t="inlineStr">
        <is>
          <t>06/30/2026</t>
        </is>
      </c>
      <c r="C31" s="39">
        <f>F30</f>
        <v/>
      </c>
      <c r="D31" s="39">
        <f>0</f>
        <v/>
      </c>
      <c r="E31" s="39">
        <f>MAX(0,MIN(C31,$B$14))</f>
        <v/>
      </c>
      <c r="F31" s="39">
        <f>MAX(0,C31-E31)</f>
        <v/>
      </c>
    </row>
    <row r="32">
      <c r="A32" t="n">
        <v>7</v>
      </c>
      <c r="B32" t="inlineStr">
        <is>
          <t>07/31/2026</t>
        </is>
      </c>
      <c r="C32" s="39">
        <f>F31</f>
        <v/>
      </c>
      <c r="D32" s="39">
        <f>0</f>
        <v/>
      </c>
      <c r="E32" s="39">
        <f>MAX(0,MIN(C32,$B$14))</f>
        <v/>
      </c>
      <c r="F32" s="39">
        <f>MAX(0,C32-E32)</f>
        <v/>
      </c>
    </row>
    <row r="33">
      <c r="A33" t="n">
        <v>8</v>
      </c>
      <c r="B33" t="inlineStr">
        <is>
          <t>08/31/2026</t>
        </is>
      </c>
      <c r="C33" s="39">
        <f>F32</f>
        <v/>
      </c>
      <c r="D33" s="39">
        <f>0</f>
        <v/>
      </c>
      <c r="E33" s="39">
        <f>MAX(0,MIN(C33,$B$14))</f>
        <v/>
      </c>
      <c r="F33" s="39">
        <f>MAX(0,C33-E33)</f>
        <v/>
      </c>
    </row>
    <row r="34">
      <c r="A34" t="n">
        <v>9</v>
      </c>
      <c r="B34" t="inlineStr">
        <is>
          <t>09/30/2026</t>
        </is>
      </c>
      <c r="C34" s="39">
        <f>F33</f>
        <v/>
      </c>
      <c r="D34" s="39">
        <f>0</f>
        <v/>
      </c>
      <c r="E34" s="39">
        <f>MAX(0,MIN(C34,$B$14))</f>
        <v/>
      </c>
      <c r="F34" s="39">
        <f>MAX(0,C34-E34)</f>
        <v/>
      </c>
    </row>
    <row r="35">
      <c r="A35" t="n">
        <v>10</v>
      </c>
      <c r="B35" t="inlineStr">
        <is>
          <t>10/31/2026</t>
        </is>
      </c>
      <c r="C35" s="39">
        <f>F34</f>
        <v/>
      </c>
      <c r="D35" s="39">
        <f>0</f>
        <v/>
      </c>
      <c r="E35" s="39">
        <f>MAX(0,MIN(C35,$B$14))</f>
        <v/>
      </c>
      <c r="F35" s="39">
        <f>MAX(0,C35-E35)</f>
        <v/>
      </c>
    </row>
    <row r="36">
      <c r="A36" t="n">
        <v>11</v>
      </c>
      <c r="B36" t="inlineStr">
        <is>
          <t>11/30/2026</t>
        </is>
      </c>
      <c r="C36" s="39">
        <f>F35</f>
        <v/>
      </c>
      <c r="D36" s="39">
        <f>0</f>
        <v/>
      </c>
      <c r="E36" s="39">
        <f>MAX(0,MIN(C36,$B$14))</f>
        <v/>
      </c>
      <c r="F36" s="39">
        <f>MAX(0,C36-E36)</f>
        <v/>
      </c>
    </row>
    <row r="37">
      <c r="A37" t="n">
        <v>12</v>
      </c>
      <c r="B37" t="inlineStr">
        <is>
          <t>12/31/2026</t>
        </is>
      </c>
      <c r="C37" s="39">
        <f>F36</f>
        <v/>
      </c>
      <c r="D37" s="39">
        <f>0</f>
        <v/>
      </c>
      <c r="E37" s="39">
        <f>MAX(0,MIN(C37,$B$14))</f>
        <v/>
      </c>
      <c r="F37" s="39">
        <f>MAX(0,C37-E37)</f>
        <v/>
      </c>
    </row>
    <row r="38">
      <c r="A38" t="n">
        <v>13</v>
      </c>
      <c r="B38" t="inlineStr">
        <is>
          <t>01/31/2027</t>
        </is>
      </c>
      <c r="C38" s="39">
        <f>F37</f>
        <v/>
      </c>
      <c r="D38" s="39">
        <f>0</f>
        <v/>
      </c>
      <c r="E38" s="39">
        <f>MAX(0,MIN(C38,$B$14))</f>
        <v/>
      </c>
      <c r="F38" s="39">
        <f>MAX(0,C38-E38)</f>
        <v/>
      </c>
    </row>
    <row r="39">
      <c r="A39" t="n">
        <v>14</v>
      </c>
      <c r="B39" t="inlineStr">
        <is>
          <t>02/28/2027</t>
        </is>
      </c>
      <c r="C39" s="39">
        <f>F38</f>
        <v/>
      </c>
      <c r="D39" s="39">
        <f>0</f>
        <v/>
      </c>
      <c r="E39" s="39">
        <f>MAX(0,MIN(C39,$B$14))</f>
        <v/>
      </c>
      <c r="F39" s="39">
        <f>MAX(0,C39-E39)</f>
        <v/>
      </c>
    </row>
    <row r="40">
      <c r="A40" t="n">
        <v>15</v>
      </c>
      <c r="B40" t="inlineStr">
        <is>
          <t>03/31/2027</t>
        </is>
      </c>
      <c r="C40" s="39">
        <f>F39</f>
        <v/>
      </c>
      <c r="D40" s="39">
        <f>0</f>
        <v/>
      </c>
      <c r="E40" s="39">
        <f>MAX(0,MIN(C40,$B$14))</f>
        <v/>
      </c>
      <c r="F40" s="39">
        <f>MAX(0,C40-E40)</f>
        <v/>
      </c>
    </row>
    <row r="42">
      <c r="A42" s="2" t="inlineStr">
        <is>
          <t>ANNUAL SUMMARY</t>
        </is>
      </c>
    </row>
    <row r="43">
      <c r="A43" s="66" t="inlineStr">
        <is>
          <t>Year</t>
        </is>
      </c>
      <c r="B43" s="66" t="inlineStr"/>
      <c r="C43" s="66" t="inlineStr">
        <is>
          <t>Ending Balance</t>
        </is>
      </c>
      <c r="D43" s="66" t="inlineStr">
        <is>
          <t>Interest Expense</t>
        </is>
      </c>
      <c r="E43" s="66" t="inlineStr">
        <is>
          <t>Principal Paid</t>
        </is>
      </c>
      <c r="F43" s="66" t="inlineStr"/>
    </row>
    <row r="44">
      <c r="A44" t="n">
        <v>2026</v>
      </c>
      <c r="C44" s="76">
        <f>F37</f>
        <v/>
      </c>
      <c r="D44" s="76">
        <f>D26+D27+D28+D29+D30+D31+D32+D33+D34+D35+D36+D37</f>
        <v/>
      </c>
      <c r="E44" s="76">
        <f>E26+E27+E28+E29+E30+E31+E32+E33+E34+E35+E36+E37</f>
        <v/>
      </c>
    </row>
    <row r="45">
      <c r="A45" t="n">
        <v>2027</v>
      </c>
      <c r="C45" s="76">
        <f>F40</f>
        <v/>
      </c>
      <c r="D45" s="76">
        <f>D38+D39+D40</f>
        <v/>
      </c>
      <c r="E45" s="76">
        <f>E38+E39+E40</f>
        <v/>
      </c>
    </row>
    <row r="47">
      <c r="A47" t="inlineStr">
        <is>
          <t>Current Balance (12/31/2025)</t>
        </is>
      </c>
      <c r="B47" s="77">
        <f>$B$12</f>
        <v/>
      </c>
    </row>
  </sheetData>
  <mergeCells count="11">
    <mergeCell ref="A24:F24"/>
    <mergeCell ref="A16:F16"/>
    <mergeCell ref="A11:F11"/>
    <mergeCell ref="A42:F42"/>
    <mergeCell ref="A19:F19"/>
    <mergeCell ref="A1:F1"/>
    <mergeCell ref="A22:F22"/>
    <mergeCell ref="A17:F17"/>
    <mergeCell ref="A18:F18"/>
    <mergeCell ref="A20:F20"/>
    <mergeCell ref="A21:F21"/>
  </mergeCells>
  <pageMargins left="0.75" right="0.75" top="1" bottom="1" header="0.5" footer="0.5"/>
  <legacyDrawing xmlns:r="http://schemas.openxmlformats.org/officeDocument/2006/relationships" r:id="anysvml"/>
</worksheet>
</file>

<file path=xl/worksheets/sheet8.xml><?xml version="1.0" encoding="utf-8"?>
<worksheet xmlns="http://schemas.openxmlformats.org/spreadsheetml/2006/main">
  <sheetPr>
    <tabColor rgb="00808080"/>
    <outlinePr summaryBelow="1" summaryRight="1"/>
    <pageSetUpPr/>
  </sheetPr>
  <dimension ref="A1:F68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2" t="inlineStr">
        <is>
          <t>LOAN DETAILS</t>
        </is>
      </c>
      <c r="B1" s="3" t="n"/>
      <c r="C1" s="3" t="n"/>
      <c r="D1" s="3" t="n"/>
      <c r="E1" s="3" t="n"/>
      <c r="F1" s="3" t="n"/>
    </row>
    <row r="2">
      <c r="A2" t="inlineStr">
        <is>
          <t>Lender</t>
        </is>
      </c>
      <c r="B2" s="4" t="inlineStr">
        <is>
          <t>Webster Capital Finance</t>
        </is>
      </c>
    </row>
    <row r="3">
      <c r="A3" t="inlineStr">
        <is>
          <t>Loan ID</t>
        </is>
      </c>
      <c r="B3" s="4" t="inlineStr">
        <is>
          <t>05-2939-002-000-00</t>
        </is>
      </c>
    </row>
    <row r="4">
      <c r="A4" t="inlineStr">
        <is>
          <t>Description</t>
        </is>
      </c>
      <c r="B4" s="4" t="inlineStr">
        <is>
          <t>25 Trailers</t>
        </is>
      </c>
    </row>
    <row r="5">
      <c r="A5" t="inlineStr">
        <is>
          <t>Collateral</t>
        </is>
      </c>
      <c r="B5" s="4" t="inlineStr">
        <is>
          <t>Equipment - Trailers</t>
        </is>
      </c>
    </row>
    <row r="6">
      <c r="A6" t="inlineStr">
        <is>
          <t>Current Balance</t>
        </is>
      </c>
      <c r="B6" s="5" t="n">
        <v>562049</v>
      </c>
    </row>
    <row r="7">
      <c r="A7" t="inlineStr">
        <is>
          <t>Annual Rate</t>
        </is>
      </c>
      <c r="B7" s="6" t="n">
        <v>0.0298</v>
      </c>
    </row>
    <row r="8">
      <c r="A8" t="inlineStr">
        <is>
          <t>Monthly Payment</t>
        </is>
      </c>
      <c r="B8" s="5" t="n">
        <v>15519</v>
      </c>
    </row>
    <row r="9">
      <c r="A9" t="inlineStr">
        <is>
          <t>Maturity Date</t>
        </is>
      </c>
      <c r="B9" s="17" t="n">
        <v>47157</v>
      </c>
    </row>
    <row r="10">
      <c r="A10" t="inlineStr">
        <is>
          <t>Loan Type</t>
        </is>
      </c>
      <c r="B10" s="4" t="inlineStr">
        <is>
          <t>AMORTIZING</t>
        </is>
      </c>
    </row>
    <row r="12">
      <c r="A12" s="8" t="inlineStr">
        <is>
          <t>AI ANALYSIS</t>
        </is>
      </c>
      <c r="B12" s="9" t="n"/>
      <c r="C12" s="9" t="n"/>
      <c r="D12" s="9" t="n"/>
      <c r="E12" s="9" t="n"/>
      <c r="F12" s="9" t="n"/>
    </row>
    <row r="13">
      <c r="A13" s="9" t="inlineStr">
        <is>
          <t>Loan Type:</t>
        </is>
      </c>
      <c r="B13" s="9" t="inlineStr">
        <is>
          <t>Standard amortizing equipment loan</t>
        </is>
      </c>
    </row>
    <row r="14">
      <c r="A14" s="9" t="inlineStr">
        <is>
          <t>Classification:</t>
        </is>
      </c>
      <c r="B14" s="9" t="inlineStr">
        <is>
          <t>Equipment - Trailers</t>
        </is>
      </c>
    </row>
    <row r="15">
      <c r="A15" s="9" t="inlineStr">
        <is>
          <t>Amortization:</t>
        </is>
      </c>
      <c r="B15" s="9" t="inlineStr">
        <is>
          <t>Fully amortizing, fixed monthly payments</t>
        </is>
      </c>
    </row>
    <row r="16">
      <c r="A16" s="9" t="inlineStr">
        <is>
          <t>Source Doc:</t>
        </is>
      </c>
      <c r="B16" s="9" t="inlineStr">
        <is>
          <t>Meiborg_Debt_Schedule_202512.xlsx, loans.md</t>
        </is>
      </c>
    </row>
    <row r="17">
      <c r="A17" s="9" t="inlineStr">
        <is>
          <t>Months Remaining:</t>
        </is>
      </c>
      <c r="B17" s="9" t="n">
        <v>38</v>
      </c>
    </row>
    <row r="18">
      <c r="A18" s="9" t="inlineStr">
        <is>
          <t>Model Start:</t>
        </is>
      </c>
      <c r="B18" s="9" t="inlineStr">
        <is>
          <t>January 2026 (balance as of 12/31/2025)</t>
        </is>
      </c>
    </row>
    <row r="19">
      <c r="A19" s="9" t="n"/>
      <c r="B19" s="9" t="n"/>
      <c r="C19" s="9" t="n"/>
      <c r="D19" s="9" t="n"/>
      <c r="E19" s="9" t="n"/>
      <c r="F19" s="9" t="n"/>
    </row>
    <row r="20">
      <c r="A20" s="9" t="n"/>
      <c r="B20" s="9" t="n"/>
      <c r="C20" s="9" t="n"/>
      <c r="D20" s="9" t="n"/>
      <c r="E20" s="9" t="n"/>
      <c r="F20" s="9" t="n"/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11" t="n">
        <v>1</v>
      </c>
      <c r="B23" s="18" t="n">
        <v>46023</v>
      </c>
      <c r="C23" s="13">
        <f>$B$6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11" t="n">
        <v>2</v>
      </c>
      <c r="B24" s="18" t="n">
        <v>46054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11" t="n">
        <v>3</v>
      </c>
      <c r="B25" s="18" t="n">
        <v>46082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11" t="n">
        <v>4</v>
      </c>
      <c r="B26" s="18" t="n">
        <v>46113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11" t="n">
        <v>5</v>
      </c>
      <c r="B27" s="18" t="n">
        <v>46143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11" t="n">
        <v>6</v>
      </c>
      <c r="B28" s="18" t="n">
        <v>46174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11" t="n">
        <v>7</v>
      </c>
      <c r="B29" s="18" t="n">
        <v>46204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11" t="n">
        <v>8</v>
      </c>
      <c r="B30" s="18" t="n">
        <v>46235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11" t="n">
        <v>9</v>
      </c>
      <c r="B31" s="18" t="n">
        <v>46266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11" t="n">
        <v>10</v>
      </c>
      <c r="B32" s="18" t="n">
        <v>46296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11" t="n">
        <v>11</v>
      </c>
      <c r="B33" s="18" t="n">
        <v>46327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4">
      <c r="A34" s="11" t="n">
        <v>12</v>
      </c>
      <c r="B34" s="18" t="n">
        <v>46357</v>
      </c>
      <c r="C34" s="13">
        <f>F33</f>
        <v/>
      </c>
      <c r="D34" s="13">
        <f>MAX(0,C34*$B$7/12)</f>
        <v/>
      </c>
      <c r="E34" s="13">
        <f>MAX(0,MIN(C34,$B$8-D34))</f>
        <v/>
      </c>
      <c r="F34" s="13">
        <f>MAX(0,C34-E34)</f>
        <v/>
      </c>
    </row>
    <row r="35">
      <c r="A35" s="11" t="n">
        <v>13</v>
      </c>
      <c r="B35" s="18" t="n">
        <v>46388</v>
      </c>
      <c r="C35" s="13">
        <f>F34</f>
        <v/>
      </c>
      <c r="D35" s="13">
        <f>MAX(0,C35*$B$7/12)</f>
        <v/>
      </c>
      <c r="E35" s="13">
        <f>MAX(0,MIN(C35,$B$8-D35))</f>
        <v/>
      </c>
      <c r="F35" s="13">
        <f>MAX(0,C35-E35)</f>
        <v/>
      </c>
    </row>
    <row r="36">
      <c r="A36" s="11" t="n">
        <v>14</v>
      </c>
      <c r="B36" s="18" t="n">
        <v>46419</v>
      </c>
      <c r="C36" s="13">
        <f>F35</f>
        <v/>
      </c>
      <c r="D36" s="13">
        <f>MAX(0,C36*$B$7/12)</f>
        <v/>
      </c>
      <c r="E36" s="13">
        <f>MAX(0,MIN(C36,$B$8-D36))</f>
        <v/>
      </c>
      <c r="F36" s="13">
        <f>MAX(0,C36-E36)</f>
        <v/>
      </c>
    </row>
    <row r="37">
      <c r="A37" s="11" t="n">
        <v>15</v>
      </c>
      <c r="B37" s="18" t="n">
        <v>46447</v>
      </c>
      <c r="C37" s="13">
        <f>F36</f>
        <v/>
      </c>
      <c r="D37" s="13">
        <f>MAX(0,C37*$B$7/12)</f>
        <v/>
      </c>
      <c r="E37" s="13">
        <f>MAX(0,MIN(C37,$B$8-D37))</f>
        <v/>
      </c>
      <c r="F37" s="13">
        <f>MAX(0,C37-E37)</f>
        <v/>
      </c>
    </row>
    <row r="38">
      <c r="A38" s="11" t="n">
        <v>16</v>
      </c>
      <c r="B38" s="18" t="n">
        <v>46478</v>
      </c>
      <c r="C38" s="13">
        <f>F37</f>
        <v/>
      </c>
      <c r="D38" s="13">
        <f>MAX(0,C38*$B$7/12)</f>
        <v/>
      </c>
      <c r="E38" s="13">
        <f>MAX(0,MIN(C38,$B$8-D38))</f>
        <v/>
      </c>
      <c r="F38" s="13">
        <f>MAX(0,C38-E38)</f>
        <v/>
      </c>
    </row>
    <row r="39">
      <c r="A39" s="11" t="n">
        <v>17</v>
      </c>
      <c r="B39" s="18" t="n">
        <v>46508</v>
      </c>
      <c r="C39" s="13">
        <f>F38</f>
        <v/>
      </c>
      <c r="D39" s="13">
        <f>MAX(0,C39*$B$7/12)</f>
        <v/>
      </c>
      <c r="E39" s="13">
        <f>MAX(0,MIN(C39,$B$8-D39))</f>
        <v/>
      </c>
      <c r="F39" s="13">
        <f>MAX(0,C39-E39)</f>
        <v/>
      </c>
    </row>
    <row r="40">
      <c r="A40" s="11" t="n">
        <v>18</v>
      </c>
      <c r="B40" s="18" t="n">
        <v>46539</v>
      </c>
      <c r="C40" s="13">
        <f>F39</f>
        <v/>
      </c>
      <c r="D40" s="13">
        <f>MAX(0,C40*$B$7/12)</f>
        <v/>
      </c>
      <c r="E40" s="13">
        <f>MAX(0,MIN(C40,$B$8-D40))</f>
        <v/>
      </c>
      <c r="F40" s="13">
        <f>MAX(0,C40-E40)</f>
        <v/>
      </c>
    </row>
    <row r="41">
      <c r="A41" s="11" t="n">
        <v>19</v>
      </c>
      <c r="B41" s="18" t="n">
        <v>46569</v>
      </c>
      <c r="C41" s="13">
        <f>F40</f>
        <v/>
      </c>
      <c r="D41" s="13">
        <f>MAX(0,C41*$B$7/12)</f>
        <v/>
      </c>
      <c r="E41" s="13">
        <f>MAX(0,MIN(C41,$B$8-D41))</f>
        <v/>
      </c>
      <c r="F41" s="13">
        <f>MAX(0,C41-E41)</f>
        <v/>
      </c>
    </row>
    <row r="42">
      <c r="A42" s="11" t="n">
        <v>20</v>
      </c>
      <c r="B42" s="18" t="n">
        <v>46600</v>
      </c>
      <c r="C42" s="13">
        <f>F41</f>
        <v/>
      </c>
      <c r="D42" s="13">
        <f>MAX(0,C42*$B$7/12)</f>
        <v/>
      </c>
      <c r="E42" s="13">
        <f>MAX(0,MIN(C42,$B$8-D42))</f>
        <v/>
      </c>
      <c r="F42" s="13">
        <f>MAX(0,C42-E42)</f>
        <v/>
      </c>
    </row>
    <row r="43">
      <c r="A43" s="11" t="n">
        <v>21</v>
      </c>
      <c r="B43" s="18" t="n">
        <v>46631</v>
      </c>
      <c r="C43" s="13">
        <f>F42</f>
        <v/>
      </c>
      <c r="D43" s="13">
        <f>MAX(0,C43*$B$7/12)</f>
        <v/>
      </c>
      <c r="E43" s="13">
        <f>MAX(0,MIN(C43,$B$8-D43))</f>
        <v/>
      </c>
      <c r="F43" s="13">
        <f>MAX(0,C43-E43)</f>
        <v/>
      </c>
    </row>
    <row r="44">
      <c r="A44" s="11" t="n">
        <v>22</v>
      </c>
      <c r="B44" s="18" t="n">
        <v>46661</v>
      </c>
      <c r="C44" s="13">
        <f>F43</f>
        <v/>
      </c>
      <c r="D44" s="13">
        <f>MAX(0,C44*$B$7/12)</f>
        <v/>
      </c>
      <c r="E44" s="13">
        <f>MAX(0,MIN(C44,$B$8-D44))</f>
        <v/>
      </c>
      <c r="F44" s="13">
        <f>MAX(0,C44-E44)</f>
        <v/>
      </c>
    </row>
    <row r="45">
      <c r="A45" s="11" t="n">
        <v>23</v>
      </c>
      <c r="B45" s="18" t="n">
        <v>46692</v>
      </c>
      <c r="C45" s="13">
        <f>F44</f>
        <v/>
      </c>
      <c r="D45" s="13">
        <f>MAX(0,C45*$B$7/12)</f>
        <v/>
      </c>
      <c r="E45" s="13">
        <f>MAX(0,MIN(C45,$B$8-D45))</f>
        <v/>
      </c>
      <c r="F45" s="13">
        <f>MAX(0,C45-E45)</f>
        <v/>
      </c>
    </row>
    <row r="46">
      <c r="A46" s="11" t="n">
        <v>24</v>
      </c>
      <c r="B46" s="18" t="n">
        <v>46722</v>
      </c>
      <c r="C46" s="13">
        <f>F45</f>
        <v/>
      </c>
      <c r="D46" s="13">
        <f>MAX(0,C46*$B$7/12)</f>
        <v/>
      </c>
      <c r="E46" s="13">
        <f>MAX(0,MIN(C46,$B$8-D46))</f>
        <v/>
      </c>
      <c r="F46" s="13">
        <f>MAX(0,C46-E46)</f>
        <v/>
      </c>
    </row>
    <row r="47">
      <c r="A47" s="11" t="n">
        <v>25</v>
      </c>
      <c r="B47" s="18" t="n">
        <v>46753</v>
      </c>
      <c r="C47" s="13">
        <f>F46</f>
        <v/>
      </c>
      <c r="D47" s="13">
        <f>MAX(0,C47*$B$7/12)</f>
        <v/>
      </c>
      <c r="E47" s="13">
        <f>MAX(0,MIN(C47,$B$8-D47))</f>
        <v/>
      </c>
      <c r="F47" s="13">
        <f>MAX(0,C47-E47)</f>
        <v/>
      </c>
    </row>
    <row r="48">
      <c r="A48" s="11" t="n">
        <v>26</v>
      </c>
      <c r="B48" s="18" t="n">
        <v>46784</v>
      </c>
      <c r="C48" s="13">
        <f>F47</f>
        <v/>
      </c>
      <c r="D48" s="13">
        <f>MAX(0,C48*$B$7/12)</f>
        <v/>
      </c>
      <c r="E48" s="13">
        <f>MAX(0,MIN(C48,$B$8-D48))</f>
        <v/>
      </c>
      <c r="F48" s="13">
        <f>MAX(0,C48-E48)</f>
        <v/>
      </c>
    </row>
    <row r="49">
      <c r="A49" s="11" t="n">
        <v>27</v>
      </c>
      <c r="B49" s="18" t="n">
        <v>46813</v>
      </c>
      <c r="C49" s="13">
        <f>F48</f>
        <v/>
      </c>
      <c r="D49" s="13">
        <f>MAX(0,C49*$B$7/12)</f>
        <v/>
      </c>
      <c r="E49" s="13">
        <f>MAX(0,MIN(C49,$B$8-D49))</f>
        <v/>
      </c>
      <c r="F49" s="13">
        <f>MAX(0,C49-E49)</f>
        <v/>
      </c>
    </row>
    <row r="50">
      <c r="A50" s="11" t="n">
        <v>28</v>
      </c>
      <c r="B50" s="18" t="n">
        <v>46844</v>
      </c>
      <c r="C50" s="13">
        <f>F49</f>
        <v/>
      </c>
      <c r="D50" s="13">
        <f>MAX(0,C50*$B$7/12)</f>
        <v/>
      </c>
      <c r="E50" s="13">
        <f>MAX(0,MIN(C50,$B$8-D50))</f>
        <v/>
      </c>
      <c r="F50" s="13">
        <f>MAX(0,C50-E50)</f>
        <v/>
      </c>
    </row>
    <row r="51">
      <c r="A51" s="11" t="n">
        <v>29</v>
      </c>
      <c r="B51" s="18" t="n">
        <v>46874</v>
      </c>
      <c r="C51" s="13">
        <f>F50</f>
        <v/>
      </c>
      <c r="D51" s="13">
        <f>MAX(0,C51*$B$7/12)</f>
        <v/>
      </c>
      <c r="E51" s="13">
        <f>MAX(0,MIN(C51,$B$8-D51))</f>
        <v/>
      </c>
      <c r="F51" s="13">
        <f>MAX(0,C51-E51)</f>
        <v/>
      </c>
    </row>
    <row r="52">
      <c r="A52" s="11" t="n">
        <v>30</v>
      </c>
      <c r="B52" s="18" t="n">
        <v>46905</v>
      </c>
      <c r="C52" s="13">
        <f>F51</f>
        <v/>
      </c>
      <c r="D52" s="13">
        <f>MAX(0,C52*$B$7/12)</f>
        <v/>
      </c>
      <c r="E52" s="13">
        <f>MAX(0,MIN(C52,$B$8-D52))</f>
        <v/>
      </c>
      <c r="F52" s="13">
        <f>MAX(0,C52-E52)</f>
        <v/>
      </c>
    </row>
    <row r="53">
      <c r="A53" s="11" t="n">
        <v>31</v>
      </c>
      <c r="B53" s="18" t="n">
        <v>46935</v>
      </c>
      <c r="C53" s="13">
        <f>F52</f>
        <v/>
      </c>
      <c r="D53" s="13">
        <f>MAX(0,C53*$B$7/12)</f>
        <v/>
      </c>
      <c r="E53" s="13">
        <f>MAX(0,MIN(C53,$B$8-D53))</f>
        <v/>
      </c>
      <c r="F53" s="13">
        <f>MAX(0,C53-E53)</f>
        <v/>
      </c>
    </row>
    <row r="54">
      <c r="A54" s="11" t="n">
        <v>32</v>
      </c>
      <c r="B54" s="18" t="n">
        <v>46966</v>
      </c>
      <c r="C54" s="13">
        <f>F53</f>
        <v/>
      </c>
      <c r="D54" s="13">
        <f>MAX(0,C54*$B$7/12)</f>
        <v/>
      </c>
      <c r="E54" s="13">
        <f>MAX(0,MIN(C54,$B$8-D54))</f>
        <v/>
      </c>
      <c r="F54" s="13">
        <f>MAX(0,C54-E54)</f>
        <v/>
      </c>
    </row>
    <row r="55">
      <c r="A55" s="11" t="n">
        <v>33</v>
      </c>
      <c r="B55" s="18" t="n">
        <v>46997</v>
      </c>
      <c r="C55" s="13">
        <f>F54</f>
        <v/>
      </c>
      <c r="D55" s="13">
        <f>MAX(0,C55*$B$7/12)</f>
        <v/>
      </c>
      <c r="E55" s="13">
        <f>MAX(0,MIN(C55,$B$8-D55))</f>
        <v/>
      </c>
      <c r="F55" s="13">
        <f>MAX(0,C55-E55)</f>
        <v/>
      </c>
    </row>
    <row r="56">
      <c r="A56" s="11" t="n">
        <v>34</v>
      </c>
      <c r="B56" s="18" t="n">
        <v>47027</v>
      </c>
      <c r="C56" s="13">
        <f>F55</f>
        <v/>
      </c>
      <c r="D56" s="13">
        <f>MAX(0,C56*$B$7/12)</f>
        <v/>
      </c>
      <c r="E56" s="13">
        <f>MAX(0,MIN(C56,$B$8-D56))</f>
        <v/>
      </c>
      <c r="F56" s="13">
        <f>MAX(0,C56-E56)</f>
        <v/>
      </c>
    </row>
    <row r="57">
      <c r="A57" s="11" t="n">
        <v>35</v>
      </c>
      <c r="B57" s="18" t="n">
        <v>47058</v>
      </c>
      <c r="C57" s="13">
        <f>F56</f>
        <v/>
      </c>
      <c r="D57" s="13">
        <f>MAX(0,C57*$B$7/12)</f>
        <v/>
      </c>
      <c r="E57" s="13">
        <f>MAX(0,MIN(C57,$B$8-D57))</f>
        <v/>
      </c>
      <c r="F57" s="13">
        <f>MAX(0,C57-E57)</f>
        <v/>
      </c>
    </row>
    <row r="58">
      <c r="A58" s="11" t="n">
        <v>36</v>
      </c>
      <c r="B58" s="18" t="n">
        <v>47088</v>
      </c>
      <c r="C58" s="13">
        <f>F57</f>
        <v/>
      </c>
      <c r="D58" s="13">
        <f>MAX(0,C58*$B$7/12)</f>
        <v/>
      </c>
      <c r="E58" s="13">
        <f>MAX(0,MIN(C58,$B$8-D58))</f>
        <v/>
      </c>
      <c r="F58" s="13">
        <f>MAX(0,C58-E58)</f>
        <v/>
      </c>
    </row>
    <row r="59">
      <c r="A59" s="11" t="n">
        <v>37</v>
      </c>
      <c r="B59" s="18" t="n">
        <v>47119</v>
      </c>
      <c r="C59" s="13">
        <f>F58</f>
        <v/>
      </c>
      <c r="D59" s="13">
        <f>MAX(0,C59*$B$7/12)</f>
        <v/>
      </c>
      <c r="E59" s="13">
        <f>MAX(0,MIN(C59,$B$8-D59))</f>
        <v/>
      </c>
      <c r="F59" s="13">
        <f>MAX(0,C59-E59)</f>
        <v/>
      </c>
    </row>
    <row r="60">
      <c r="A60" s="11" t="n">
        <v>38</v>
      </c>
      <c r="B60" s="18" t="n">
        <v>47150</v>
      </c>
      <c r="C60" s="13">
        <f>F59</f>
        <v/>
      </c>
      <c r="D60" s="13">
        <f>MAX(0,C60*$B$7/12)</f>
        <v/>
      </c>
      <c r="E60" s="13">
        <f>MAX(0,MIN(C60,$B$8-D60))</f>
        <v/>
      </c>
      <c r="F60" s="13">
        <f>MAX(0,C60-E60)</f>
        <v/>
      </c>
    </row>
    <row r="63">
      <c r="A63" s="2" t="inlineStr">
        <is>
          <t>ANNUAL SUMMARY</t>
        </is>
      </c>
      <c r="B63" s="3" t="n"/>
      <c r="C63" s="3" t="n"/>
      <c r="D63" s="3" t="n"/>
      <c r="E63" s="3" t="n"/>
      <c r="F63" s="3" t="n"/>
    </row>
    <row r="64">
      <c r="A64" s="14" t="inlineStr">
        <is>
          <t>Year</t>
        </is>
      </c>
      <c r="B64" s="14" t="inlineStr"/>
      <c r="C64" s="14" t="inlineStr">
        <is>
          <t>Opening</t>
        </is>
      </c>
      <c r="D64" s="14" t="inlineStr">
        <is>
          <t>Interest</t>
        </is>
      </c>
      <c r="E64" s="14" t="inlineStr">
        <is>
          <t>Principal</t>
        </is>
      </c>
      <c r="F64" s="14" t="inlineStr">
        <is>
          <t>Closing</t>
        </is>
      </c>
    </row>
    <row r="65">
      <c r="A65" s="15" t="n">
        <v>2026</v>
      </c>
      <c r="B65" s="15" t="inlineStr"/>
      <c r="C65" s="16">
        <f>C23</f>
        <v/>
      </c>
      <c r="D65" s="16">
        <f>SUM(D23:D34)</f>
        <v/>
      </c>
      <c r="E65" s="16">
        <f>SUM(E23:E34)</f>
        <v/>
      </c>
      <c r="F65" s="16">
        <f>F34</f>
        <v/>
      </c>
    </row>
    <row r="66">
      <c r="A66" s="15" t="n">
        <v>2027</v>
      </c>
      <c r="B66" s="15" t="inlineStr"/>
      <c r="C66" s="16">
        <f>C35</f>
        <v/>
      </c>
      <c r="D66" s="16">
        <f>SUM(D35:D46)</f>
        <v/>
      </c>
      <c r="E66" s="16">
        <f>SUM(E35:E46)</f>
        <v/>
      </c>
      <c r="F66" s="16">
        <f>F46</f>
        <v/>
      </c>
    </row>
    <row r="67">
      <c r="A67" s="15" t="n">
        <v>2028</v>
      </c>
      <c r="B67" s="15" t="inlineStr"/>
      <c r="C67" s="16">
        <f>C47</f>
        <v/>
      </c>
      <c r="D67" s="16">
        <f>SUM(D47:D58)</f>
        <v/>
      </c>
      <c r="E67" s="16">
        <f>SUM(E47:E58)</f>
        <v/>
      </c>
      <c r="F67" s="16">
        <f>F58</f>
        <v/>
      </c>
    </row>
    <row r="68">
      <c r="A68" s="15" t="n">
        <v>2029</v>
      </c>
      <c r="B68" s="15" t="inlineStr"/>
      <c r="C68" s="16">
        <f>C59</f>
        <v/>
      </c>
      <c r="D68" s="16">
        <f>SUM(D59:D60)</f>
        <v/>
      </c>
      <c r="E68" s="16">
        <f>SUM(E59:E60)</f>
        <v/>
      </c>
      <c r="F68" s="16">
        <f>F60</f>
        <v/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80.xml><?xml version="1.0" encoding="utf-8"?>
<worksheet xmlns="http://schemas.openxmlformats.org/spreadsheetml/2006/main">
  <sheetPr>
    <tabColor rgb="00808080"/>
    <outlinePr summaryBelow="1" summaryRight="1"/>
    <pageSetUpPr/>
  </sheetPr>
  <dimension ref="A1:F97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2" t="inlineStr">
        <is>
          <t>LOAN DETAILS</t>
        </is>
      </c>
    </row>
    <row r="2">
      <c r="A2" t="inlineStr">
        <is>
          <t>Lender</t>
        </is>
      </c>
      <c r="B2" t="inlineStr">
        <is>
          <t>Commonwealth</t>
        </is>
      </c>
    </row>
    <row r="3">
      <c r="A3" t="inlineStr">
        <is>
          <t>Loan ID</t>
        </is>
      </c>
      <c r="B3" t="inlineStr">
        <is>
          <t>08-2927-000-000-00</t>
        </is>
      </c>
    </row>
    <row r="4">
      <c r="A4" t="inlineStr">
        <is>
          <t>Loan Number</t>
        </is>
      </c>
      <c r="B4" t="inlineStr">
        <is>
          <t>All Interest Loan</t>
        </is>
      </c>
    </row>
    <row r="5">
      <c r="A5" t="inlineStr">
        <is>
          <t>Description</t>
        </is>
      </c>
      <c r="B5" t="inlineStr">
        <is>
          <t>11th Street (MH3)</t>
        </is>
      </c>
    </row>
    <row r="6">
      <c r="A6" t="inlineStr">
        <is>
          <t>Collateral</t>
        </is>
      </c>
      <c r="B6" t="inlineStr">
        <is>
          <t>Real Estate — 3814 11th Street, Rockford IL</t>
        </is>
      </c>
    </row>
    <row r="7">
      <c r="A7" t="inlineStr">
        <is>
          <t>Origination Date</t>
        </is>
      </c>
      <c r="B7" t="inlineStr">
        <is>
          <t>08/29/2025</t>
        </is>
      </c>
    </row>
    <row r="8">
      <c r="A8" t="inlineStr">
        <is>
          <t>Maturity Date</t>
        </is>
      </c>
      <c r="B8" t="inlineStr">
        <is>
          <t>08/29/2045</t>
        </is>
      </c>
    </row>
    <row r="9">
      <c r="A9" t="inlineStr">
        <is>
          <t>Loan Type</t>
        </is>
      </c>
      <c r="B9" t="inlineStr">
        <is>
          <t>INTEREST_ONLY_BALLOON</t>
        </is>
      </c>
    </row>
    <row r="11">
      <c r="A11" s="2" t="inlineStr">
        <is>
          <t>LOAN ASSUMPTIONS</t>
        </is>
      </c>
    </row>
    <row r="12">
      <c r="A12" t="inlineStr">
        <is>
          <t>Principal Balance</t>
        </is>
      </c>
      <c r="B12" s="5" t="n">
        <v>4160000</v>
      </c>
    </row>
    <row r="13">
      <c r="A13" t="inlineStr">
        <is>
          <t>Interest Rate (Annual)</t>
        </is>
      </c>
      <c r="B13" s="6" t="n">
        <v>0.09</v>
      </c>
    </row>
    <row r="14">
      <c r="A14" t="inlineStr">
        <is>
          <t>Monthly Payment (Interest Only)</t>
        </is>
      </c>
      <c r="B14" s="5" t="n">
        <v>31200</v>
      </c>
    </row>
    <row r="16">
      <c r="A16" s="2" t="inlineStr">
        <is>
          <t>AI ANALYSIS</t>
        </is>
      </c>
    </row>
    <row r="17">
      <c r="A17" s="9" t="inlineStr">
        <is>
          <t>Loan Type: Interest-Only Balloon (Real Estate)</t>
        </is>
      </c>
    </row>
    <row r="18">
      <c r="A18" s="9" t="inlineStr">
        <is>
          <t>This is a 20-year interest-only real estate loan.</t>
        </is>
      </c>
    </row>
    <row r="19">
      <c r="A19" s="9" t="inlineStr">
        <is>
          <t>Monthly payment of $31,200 = interest only (no principal amortization).</t>
        </is>
      </c>
    </row>
    <row r="20">
      <c r="A20" s="9" t="inlineStr">
        <is>
          <t>Implied rate check: $31,200 x 12 = $374,400 / $4,160,000 = 9.00% (matches stated rate).</t>
        </is>
      </c>
    </row>
    <row r="21">
      <c r="A21" s="9" t="inlineStr">
        <is>
          <t>Principal balance remains at $4,160,000 until balloon payment at maturity.</t>
        </is>
      </c>
    </row>
    <row r="22">
      <c r="A22" s="9" t="inlineStr">
        <is>
          <t>Full principal due at maturity: 08/29/2045.</t>
        </is>
      </c>
    </row>
    <row r="24">
      <c r="A24" s="2" t="inlineStr">
        <is>
          <t>INTEREST SCHEDULE</t>
        </is>
      </c>
    </row>
    <row r="25">
      <c r="A25" s="66" t="inlineStr">
        <is>
          <t>Month #</t>
        </is>
      </c>
      <c r="B25" s="66" t="inlineStr">
        <is>
          <t>Date</t>
        </is>
      </c>
      <c r="C25" s="66" t="inlineStr">
        <is>
          <t>Principal Balance</t>
        </is>
      </c>
      <c r="D25" s="66" t="inlineStr">
        <is>
          <t>Interest Expense</t>
        </is>
      </c>
      <c r="E25" s="66" t="inlineStr">
        <is>
          <t>Principal Paid</t>
        </is>
      </c>
      <c r="F25" s="66" t="inlineStr">
        <is>
          <t>Ending Balance</t>
        </is>
      </c>
    </row>
    <row r="26">
      <c r="A26" t="n">
        <v>1</v>
      </c>
      <c r="B26" t="inlineStr">
        <is>
          <t>01/31/2026</t>
        </is>
      </c>
      <c r="C26" s="39">
        <f>$B$12</f>
        <v/>
      </c>
      <c r="D26" s="39">
        <f>$B$14</f>
        <v/>
      </c>
      <c r="E26" s="39">
        <f>0</f>
        <v/>
      </c>
      <c r="F26" s="39">
        <f>$B$12</f>
        <v/>
      </c>
    </row>
    <row r="27">
      <c r="A27" t="n">
        <v>2</v>
      </c>
      <c r="B27" t="inlineStr">
        <is>
          <t>02/28/2026</t>
        </is>
      </c>
      <c r="C27" s="39">
        <f>$B$12</f>
        <v/>
      </c>
      <c r="D27" s="39">
        <f>$B$14</f>
        <v/>
      </c>
      <c r="E27" s="39">
        <f>0</f>
        <v/>
      </c>
      <c r="F27" s="39">
        <f>$B$12</f>
        <v/>
      </c>
    </row>
    <row r="28">
      <c r="A28" t="n">
        <v>3</v>
      </c>
      <c r="B28" t="inlineStr">
        <is>
          <t>03/31/2026</t>
        </is>
      </c>
      <c r="C28" s="39">
        <f>$B$12</f>
        <v/>
      </c>
      <c r="D28" s="39">
        <f>$B$14</f>
        <v/>
      </c>
      <c r="E28" s="39">
        <f>0</f>
        <v/>
      </c>
      <c r="F28" s="39">
        <f>$B$12</f>
        <v/>
      </c>
    </row>
    <row r="29">
      <c r="A29" t="n">
        <v>4</v>
      </c>
      <c r="B29" t="inlineStr">
        <is>
          <t>04/30/2026</t>
        </is>
      </c>
      <c r="C29" s="39">
        <f>$B$12</f>
        <v/>
      </c>
      <c r="D29" s="39">
        <f>$B$14</f>
        <v/>
      </c>
      <c r="E29" s="39">
        <f>0</f>
        <v/>
      </c>
      <c r="F29" s="39">
        <f>$B$12</f>
        <v/>
      </c>
    </row>
    <row r="30">
      <c r="A30" t="n">
        <v>5</v>
      </c>
      <c r="B30" t="inlineStr">
        <is>
          <t>05/31/2026</t>
        </is>
      </c>
      <c r="C30" s="39">
        <f>$B$12</f>
        <v/>
      </c>
      <c r="D30" s="39">
        <f>$B$14</f>
        <v/>
      </c>
      <c r="E30" s="39">
        <f>0</f>
        <v/>
      </c>
      <c r="F30" s="39">
        <f>$B$12</f>
        <v/>
      </c>
    </row>
    <row r="31">
      <c r="A31" t="n">
        <v>6</v>
      </c>
      <c r="B31" t="inlineStr">
        <is>
          <t>06/30/2026</t>
        </is>
      </c>
      <c r="C31" s="39">
        <f>$B$12</f>
        <v/>
      </c>
      <c r="D31" s="39">
        <f>$B$14</f>
        <v/>
      </c>
      <c r="E31" s="39">
        <f>0</f>
        <v/>
      </c>
      <c r="F31" s="39">
        <f>$B$12</f>
        <v/>
      </c>
    </row>
    <row r="32">
      <c r="A32" t="n">
        <v>7</v>
      </c>
      <c r="B32" t="inlineStr">
        <is>
          <t>07/31/2026</t>
        </is>
      </c>
      <c r="C32" s="39">
        <f>$B$12</f>
        <v/>
      </c>
      <c r="D32" s="39">
        <f>$B$14</f>
        <v/>
      </c>
      <c r="E32" s="39">
        <f>0</f>
        <v/>
      </c>
      <c r="F32" s="39">
        <f>$B$12</f>
        <v/>
      </c>
    </row>
    <row r="33">
      <c r="A33" t="n">
        <v>8</v>
      </c>
      <c r="B33" t="inlineStr">
        <is>
          <t>08/31/2026</t>
        </is>
      </c>
      <c r="C33" s="39">
        <f>$B$12</f>
        <v/>
      </c>
      <c r="D33" s="39">
        <f>$B$14</f>
        <v/>
      </c>
      <c r="E33" s="39">
        <f>0</f>
        <v/>
      </c>
      <c r="F33" s="39">
        <f>$B$12</f>
        <v/>
      </c>
    </row>
    <row r="34">
      <c r="A34" t="n">
        <v>9</v>
      </c>
      <c r="B34" t="inlineStr">
        <is>
          <t>09/30/2026</t>
        </is>
      </c>
      <c r="C34" s="39">
        <f>$B$12</f>
        <v/>
      </c>
      <c r="D34" s="39">
        <f>$B$14</f>
        <v/>
      </c>
      <c r="E34" s="39">
        <f>0</f>
        <v/>
      </c>
      <c r="F34" s="39">
        <f>$B$12</f>
        <v/>
      </c>
    </row>
    <row r="35">
      <c r="A35" t="n">
        <v>10</v>
      </c>
      <c r="B35" t="inlineStr">
        <is>
          <t>10/31/2026</t>
        </is>
      </c>
      <c r="C35" s="39">
        <f>$B$12</f>
        <v/>
      </c>
      <c r="D35" s="39">
        <f>$B$14</f>
        <v/>
      </c>
      <c r="E35" s="39">
        <f>0</f>
        <v/>
      </c>
      <c r="F35" s="39">
        <f>$B$12</f>
        <v/>
      </c>
    </row>
    <row r="36">
      <c r="A36" t="n">
        <v>11</v>
      </c>
      <c r="B36" t="inlineStr">
        <is>
          <t>11/30/2026</t>
        </is>
      </c>
      <c r="C36" s="39">
        <f>$B$12</f>
        <v/>
      </c>
      <c r="D36" s="39">
        <f>$B$14</f>
        <v/>
      </c>
      <c r="E36" s="39">
        <f>0</f>
        <v/>
      </c>
      <c r="F36" s="39">
        <f>$B$12</f>
        <v/>
      </c>
    </row>
    <row r="37">
      <c r="A37" t="n">
        <v>12</v>
      </c>
      <c r="B37" t="inlineStr">
        <is>
          <t>12/31/2026</t>
        </is>
      </c>
      <c r="C37" s="39">
        <f>$B$12</f>
        <v/>
      </c>
      <c r="D37" s="39">
        <f>$B$14</f>
        <v/>
      </c>
      <c r="E37" s="39">
        <f>0</f>
        <v/>
      </c>
      <c r="F37" s="39">
        <f>$B$12</f>
        <v/>
      </c>
    </row>
    <row r="38">
      <c r="A38" t="n">
        <v>13</v>
      </c>
      <c r="B38" t="inlineStr">
        <is>
          <t>01/31/2027</t>
        </is>
      </c>
      <c r="C38" s="39">
        <f>$B$12</f>
        <v/>
      </c>
      <c r="D38" s="39">
        <f>$B$14</f>
        <v/>
      </c>
      <c r="E38" s="39">
        <f>0</f>
        <v/>
      </c>
      <c r="F38" s="39">
        <f>$B$12</f>
        <v/>
      </c>
    </row>
    <row r="39">
      <c r="A39" t="n">
        <v>14</v>
      </c>
      <c r="B39" t="inlineStr">
        <is>
          <t>02/28/2027</t>
        </is>
      </c>
      <c r="C39" s="39">
        <f>$B$12</f>
        <v/>
      </c>
      <c r="D39" s="39">
        <f>$B$14</f>
        <v/>
      </c>
      <c r="E39" s="39">
        <f>0</f>
        <v/>
      </c>
      <c r="F39" s="39">
        <f>$B$12</f>
        <v/>
      </c>
    </row>
    <row r="40">
      <c r="A40" t="n">
        <v>15</v>
      </c>
      <c r="B40" t="inlineStr">
        <is>
          <t>03/31/2027</t>
        </is>
      </c>
      <c r="C40" s="39">
        <f>$B$12</f>
        <v/>
      </c>
      <c r="D40" s="39">
        <f>$B$14</f>
        <v/>
      </c>
      <c r="E40" s="39">
        <f>0</f>
        <v/>
      </c>
      <c r="F40" s="39">
        <f>$B$12</f>
        <v/>
      </c>
    </row>
    <row r="41">
      <c r="A41" t="n">
        <v>16</v>
      </c>
      <c r="B41" t="inlineStr">
        <is>
          <t>04/30/2027</t>
        </is>
      </c>
      <c r="C41" s="39">
        <f>$B$12</f>
        <v/>
      </c>
      <c r="D41" s="39">
        <f>$B$14</f>
        <v/>
      </c>
      <c r="E41" s="39">
        <f>0</f>
        <v/>
      </c>
      <c r="F41" s="39">
        <f>$B$12</f>
        <v/>
      </c>
    </row>
    <row r="42">
      <c r="A42" t="n">
        <v>17</v>
      </c>
      <c r="B42" t="inlineStr">
        <is>
          <t>05/31/2027</t>
        </is>
      </c>
      <c r="C42" s="39">
        <f>$B$12</f>
        <v/>
      </c>
      <c r="D42" s="39">
        <f>$B$14</f>
        <v/>
      </c>
      <c r="E42" s="39">
        <f>0</f>
        <v/>
      </c>
      <c r="F42" s="39">
        <f>$B$12</f>
        <v/>
      </c>
    </row>
    <row r="43">
      <c r="A43" t="n">
        <v>18</v>
      </c>
      <c r="B43" t="inlineStr">
        <is>
          <t>06/30/2027</t>
        </is>
      </c>
      <c r="C43" s="39">
        <f>$B$12</f>
        <v/>
      </c>
      <c r="D43" s="39">
        <f>$B$14</f>
        <v/>
      </c>
      <c r="E43" s="39">
        <f>0</f>
        <v/>
      </c>
      <c r="F43" s="39">
        <f>$B$12</f>
        <v/>
      </c>
    </row>
    <row r="44">
      <c r="A44" t="n">
        <v>19</v>
      </c>
      <c r="B44" t="inlineStr">
        <is>
          <t>07/31/2027</t>
        </is>
      </c>
      <c r="C44" s="39">
        <f>$B$12</f>
        <v/>
      </c>
      <c r="D44" s="39">
        <f>$B$14</f>
        <v/>
      </c>
      <c r="E44" s="39">
        <f>0</f>
        <v/>
      </c>
      <c r="F44" s="39">
        <f>$B$12</f>
        <v/>
      </c>
    </row>
    <row r="45">
      <c r="A45" t="n">
        <v>20</v>
      </c>
      <c r="B45" t="inlineStr">
        <is>
          <t>08/31/2027</t>
        </is>
      </c>
      <c r="C45" s="39">
        <f>$B$12</f>
        <v/>
      </c>
      <c r="D45" s="39">
        <f>$B$14</f>
        <v/>
      </c>
      <c r="E45" s="39">
        <f>0</f>
        <v/>
      </c>
      <c r="F45" s="39">
        <f>$B$12</f>
        <v/>
      </c>
    </row>
    <row r="46">
      <c r="A46" t="n">
        <v>21</v>
      </c>
      <c r="B46" t="inlineStr">
        <is>
          <t>09/30/2027</t>
        </is>
      </c>
      <c r="C46" s="39">
        <f>$B$12</f>
        <v/>
      </c>
      <c r="D46" s="39">
        <f>$B$14</f>
        <v/>
      </c>
      <c r="E46" s="39">
        <f>0</f>
        <v/>
      </c>
      <c r="F46" s="39">
        <f>$B$12</f>
        <v/>
      </c>
    </row>
    <row r="47">
      <c r="A47" t="n">
        <v>22</v>
      </c>
      <c r="B47" t="inlineStr">
        <is>
          <t>10/31/2027</t>
        </is>
      </c>
      <c r="C47" s="39">
        <f>$B$12</f>
        <v/>
      </c>
      <c r="D47" s="39">
        <f>$B$14</f>
        <v/>
      </c>
      <c r="E47" s="39">
        <f>0</f>
        <v/>
      </c>
      <c r="F47" s="39">
        <f>$B$12</f>
        <v/>
      </c>
    </row>
    <row r="48">
      <c r="A48" t="n">
        <v>23</v>
      </c>
      <c r="B48" t="inlineStr">
        <is>
          <t>11/30/2027</t>
        </is>
      </c>
      <c r="C48" s="39">
        <f>$B$12</f>
        <v/>
      </c>
      <c r="D48" s="39">
        <f>$B$14</f>
        <v/>
      </c>
      <c r="E48" s="39">
        <f>0</f>
        <v/>
      </c>
      <c r="F48" s="39">
        <f>$B$12</f>
        <v/>
      </c>
    </row>
    <row r="49">
      <c r="A49" t="n">
        <v>24</v>
      </c>
      <c r="B49" t="inlineStr">
        <is>
          <t>12/31/2027</t>
        </is>
      </c>
      <c r="C49" s="39">
        <f>$B$12</f>
        <v/>
      </c>
      <c r="D49" s="39">
        <f>$B$14</f>
        <v/>
      </c>
      <c r="E49" s="39">
        <f>0</f>
        <v/>
      </c>
      <c r="F49" s="39">
        <f>$B$12</f>
        <v/>
      </c>
    </row>
    <row r="50">
      <c r="A50" t="n">
        <v>25</v>
      </c>
      <c r="B50" t="inlineStr">
        <is>
          <t>01/31/2028</t>
        </is>
      </c>
      <c r="C50" s="39">
        <f>$B$12</f>
        <v/>
      </c>
      <c r="D50" s="39">
        <f>$B$14</f>
        <v/>
      </c>
      <c r="E50" s="39">
        <f>0</f>
        <v/>
      </c>
      <c r="F50" s="39">
        <f>$B$12</f>
        <v/>
      </c>
    </row>
    <row r="51">
      <c r="A51" t="n">
        <v>26</v>
      </c>
      <c r="B51" t="inlineStr">
        <is>
          <t>02/29/2028</t>
        </is>
      </c>
      <c r="C51" s="39">
        <f>$B$12</f>
        <v/>
      </c>
      <c r="D51" s="39">
        <f>$B$14</f>
        <v/>
      </c>
      <c r="E51" s="39">
        <f>0</f>
        <v/>
      </c>
      <c r="F51" s="39">
        <f>$B$12</f>
        <v/>
      </c>
    </row>
    <row r="52">
      <c r="A52" t="n">
        <v>27</v>
      </c>
      <c r="B52" t="inlineStr">
        <is>
          <t>03/31/2028</t>
        </is>
      </c>
      <c r="C52" s="39">
        <f>$B$12</f>
        <v/>
      </c>
      <c r="D52" s="39">
        <f>$B$14</f>
        <v/>
      </c>
      <c r="E52" s="39">
        <f>0</f>
        <v/>
      </c>
      <c r="F52" s="39">
        <f>$B$12</f>
        <v/>
      </c>
    </row>
    <row r="53">
      <c r="A53" t="n">
        <v>28</v>
      </c>
      <c r="B53" t="inlineStr">
        <is>
          <t>04/30/2028</t>
        </is>
      </c>
      <c r="C53" s="39">
        <f>$B$12</f>
        <v/>
      </c>
      <c r="D53" s="39">
        <f>$B$14</f>
        <v/>
      </c>
      <c r="E53" s="39">
        <f>0</f>
        <v/>
      </c>
      <c r="F53" s="39">
        <f>$B$12</f>
        <v/>
      </c>
    </row>
    <row r="54">
      <c r="A54" t="n">
        <v>29</v>
      </c>
      <c r="B54" t="inlineStr">
        <is>
          <t>05/31/2028</t>
        </is>
      </c>
      <c r="C54" s="39">
        <f>$B$12</f>
        <v/>
      </c>
      <c r="D54" s="39">
        <f>$B$14</f>
        <v/>
      </c>
      <c r="E54" s="39">
        <f>0</f>
        <v/>
      </c>
      <c r="F54" s="39">
        <f>$B$12</f>
        <v/>
      </c>
    </row>
    <row r="55">
      <c r="A55" t="n">
        <v>30</v>
      </c>
      <c r="B55" t="inlineStr">
        <is>
          <t>06/30/2028</t>
        </is>
      </c>
      <c r="C55" s="39">
        <f>$B$12</f>
        <v/>
      </c>
      <c r="D55" s="39">
        <f>$B$14</f>
        <v/>
      </c>
      <c r="E55" s="39">
        <f>0</f>
        <v/>
      </c>
      <c r="F55" s="39">
        <f>$B$12</f>
        <v/>
      </c>
    </row>
    <row r="56">
      <c r="A56" t="n">
        <v>31</v>
      </c>
      <c r="B56" t="inlineStr">
        <is>
          <t>07/31/2028</t>
        </is>
      </c>
      <c r="C56" s="39">
        <f>$B$12</f>
        <v/>
      </c>
      <c r="D56" s="39">
        <f>$B$14</f>
        <v/>
      </c>
      <c r="E56" s="39">
        <f>0</f>
        <v/>
      </c>
      <c r="F56" s="39">
        <f>$B$12</f>
        <v/>
      </c>
    </row>
    <row r="57">
      <c r="A57" t="n">
        <v>32</v>
      </c>
      <c r="B57" t="inlineStr">
        <is>
          <t>08/31/2028</t>
        </is>
      </c>
      <c r="C57" s="39">
        <f>$B$12</f>
        <v/>
      </c>
      <c r="D57" s="39">
        <f>$B$14</f>
        <v/>
      </c>
      <c r="E57" s="39">
        <f>0</f>
        <v/>
      </c>
      <c r="F57" s="39">
        <f>$B$12</f>
        <v/>
      </c>
    </row>
    <row r="58">
      <c r="A58" t="n">
        <v>33</v>
      </c>
      <c r="B58" t="inlineStr">
        <is>
          <t>09/30/2028</t>
        </is>
      </c>
      <c r="C58" s="39">
        <f>$B$12</f>
        <v/>
      </c>
      <c r="D58" s="39">
        <f>$B$14</f>
        <v/>
      </c>
      <c r="E58" s="39">
        <f>0</f>
        <v/>
      </c>
      <c r="F58" s="39">
        <f>$B$12</f>
        <v/>
      </c>
    </row>
    <row r="59">
      <c r="A59" t="n">
        <v>34</v>
      </c>
      <c r="B59" t="inlineStr">
        <is>
          <t>10/31/2028</t>
        </is>
      </c>
      <c r="C59" s="39">
        <f>$B$12</f>
        <v/>
      </c>
      <c r="D59" s="39">
        <f>$B$14</f>
        <v/>
      </c>
      <c r="E59" s="39">
        <f>0</f>
        <v/>
      </c>
      <c r="F59" s="39">
        <f>$B$12</f>
        <v/>
      </c>
    </row>
    <row r="60">
      <c r="A60" t="n">
        <v>35</v>
      </c>
      <c r="B60" t="inlineStr">
        <is>
          <t>11/30/2028</t>
        </is>
      </c>
      <c r="C60" s="39">
        <f>$B$12</f>
        <v/>
      </c>
      <c r="D60" s="39">
        <f>$B$14</f>
        <v/>
      </c>
      <c r="E60" s="39">
        <f>0</f>
        <v/>
      </c>
      <c r="F60" s="39">
        <f>$B$12</f>
        <v/>
      </c>
    </row>
    <row r="61">
      <c r="A61" t="n">
        <v>36</v>
      </c>
      <c r="B61" t="inlineStr">
        <is>
          <t>12/31/2028</t>
        </is>
      </c>
      <c r="C61" s="39">
        <f>$B$12</f>
        <v/>
      </c>
      <c r="D61" s="39">
        <f>$B$14</f>
        <v/>
      </c>
      <c r="E61" s="39">
        <f>0</f>
        <v/>
      </c>
      <c r="F61" s="39">
        <f>$B$12</f>
        <v/>
      </c>
    </row>
    <row r="62">
      <c r="A62" t="n">
        <v>37</v>
      </c>
      <c r="B62" t="inlineStr">
        <is>
          <t>01/31/2029</t>
        </is>
      </c>
      <c r="C62" s="39">
        <f>$B$12</f>
        <v/>
      </c>
      <c r="D62" s="39">
        <f>$B$14</f>
        <v/>
      </c>
      <c r="E62" s="39">
        <f>0</f>
        <v/>
      </c>
      <c r="F62" s="39">
        <f>$B$12</f>
        <v/>
      </c>
    </row>
    <row r="63">
      <c r="A63" t="n">
        <v>38</v>
      </c>
      <c r="B63" t="inlineStr">
        <is>
          <t>02/28/2029</t>
        </is>
      </c>
      <c r="C63" s="39">
        <f>$B$12</f>
        <v/>
      </c>
      <c r="D63" s="39">
        <f>$B$14</f>
        <v/>
      </c>
      <c r="E63" s="39">
        <f>0</f>
        <v/>
      </c>
      <c r="F63" s="39">
        <f>$B$12</f>
        <v/>
      </c>
    </row>
    <row r="64">
      <c r="A64" t="n">
        <v>39</v>
      </c>
      <c r="B64" t="inlineStr">
        <is>
          <t>03/31/2029</t>
        </is>
      </c>
      <c r="C64" s="39">
        <f>$B$12</f>
        <v/>
      </c>
      <c r="D64" s="39">
        <f>$B$14</f>
        <v/>
      </c>
      <c r="E64" s="39">
        <f>0</f>
        <v/>
      </c>
      <c r="F64" s="39">
        <f>$B$12</f>
        <v/>
      </c>
    </row>
    <row r="65">
      <c r="A65" t="n">
        <v>40</v>
      </c>
      <c r="B65" t="inlineStr">
        <is>
          <t>04/30/2029</t>
        </is>
      </c>
      <c r="C65" s="39">
        <f>$B$12</f>
        <v/>
      </c>
      <c r="D65" s="39">
        <f>$B$14</f>
        <v/>
      </c>
      <c r="E65" s="39">
        <f>0</f>
        <v/>
      </c>
      <c r="F65" s="39">
        <f>$B$12</f>
        <v/>
      </c>
    </row>
    <row r="66">
      <c r="A66" t="n">
        <v>41</v>
      </c>
      <c r="B66" t="inlineStr">
        <is>
          <t>05/31/2029</t>
        </is>
      </c>
      <c r="C66" s="39">
        <f>$B$12</f>
        <v/>
      </c>
      <c r="D66" s="39">
        <f>$B$14</f>
        <v/>
      </c>
      <c r="E66" s="39">
        <f>0</f>
        <v/>
      </c>
      <c r="F66" s="39">
        <f>$B$12</f>
        <v/>
      </c>
    </row>
    <row r="67">
      <c r="A67" t="n">
        <v>42</v>
      </c>
      <c r="B67" t="inlineStr">
        <is>
          <t>06/30/2029</t>
        </is>
      </c>
      <c r="C67" s="39">
        <f>$B$12</f>
        <v/>
      </c>
      <c r="D67" s="39">
        <f>$B$14</f>
        <v/>
      </c>
      <c r="E67" s="39">
        <f>0</f>
        <v/>
      </c>
      <c r="F67" s="39">
        <f>$B$12</f>
        <v/>
      </c>
    </row>
    <row r="68">
      <c r="A68" t="n">
        <v>43</v>
      </c>
      <c r="B68" t="inlineStr">
        <is>
          <t>07/31/2029</t>
        </is>
      </c>
      <c r="C68" s="39">
        <f>$B$12</f>
        <v/>
      </c>
      <c r="D68" s="39">
        <f>$B$14</f>
        <v/>
      </c>
      <c r="E68" s="39">
        <f>0</f>
        <v/>
      </c>
      <c r="F68" s="39">
        <f>$B$12</f>
        <v/>
      </c>
    </row>
    <row r="69">
      <c r="A69" t="n">
        <v>44</v>
      </c>
      <c r="B69" t="inlineStr">
        <is>
          <t>08/31/2029</t>
        </is>
      </c>
      <c r="C69" s="39">
        <f>$B$12</f>
        <v/>
      </c>
      <c r="D69" s="39">
        <f>$B$14</f>
        <v/>
      </c>
      <c r="E69" s="39">
        <f>0</f>
        <v/>
      </c>
      <c r="F69" s="39">
        <f>$B$12</f>
        <v/>
      </c>
    </row>
    <row r="70">
      <c r="A70" t="n">
        <v>45</v>
      </c>
      <c r="B70" t="inlineStr">
        <is>
          <t>09/30/2029</t>
        </is>
      </c>
      <c r="C70" s="39">
        <f>$B$12</f>
        <v/>
      </c>
      <c r="D70" s="39">
        <f>$B$14</f>
        <v/>
      </c>
      <c r="E70" s="39">
        <f>0</f>
        <v/>
      </c>
      <c r="F70" s="39">
        <f>$B$12</f>
        <v/>
      </c>
    </row>
    <row r="71">
      <c r="A71" t="n">
        <v>46</v>
      </c>
      <c r="B71" t="inlineStr">
        <is>
          <t>10/31/2029</t>
        </is>
      </c>
      <c r="C71" s="39">
        <f>$B$12</f>
        <v/>
      </c>
      <c r="D71" s="39">
        <f>$B$14</f>
        <v/>
      </c>
      <c r="E71" s="39">
        <f>0</f>
        <v/>
      </c>
      <c r="F71" s="39">
        <f>$B$12</f>
        <v/>
      </c>
    </row>
    <row r="72">
      <c r="A72" t="n">
        <v>47</v>
      </c>
      <c r="B72" t="inlineStr">
        <is>
          <t>11/30/2029</t>
        </is>
      </c>
      <c r="C72" s="39">
        <f>$B$12</f>
        <v/>
      </c>
      <c r="D72" s="39">
        <f>$B$14</f>
        <v/>
      </c>
      <c r="E72" s="39">
        <f>0</f>
        <v/>
      </c>
      <c r="F72" s="39">
        <f>$B$12</f>
        <v/>
      </c>
    </row>
    <row r="73">
      <c r="A73" t="n">
        <v>48</v>
      </c>
      <c r="B73" t="inlineStr">
        <is>
          <t>12/31/2029</t>
        </is>
      </c>
      <c r="C73" s="39">
        <f>$B$12</f>
        <v/>
      </c>
      <c r="D73" s="39">
        <f>$B$14</f>
        <v/>
      </c>
      <c r="E73" s="39">
        <f>0</f>
        <v/>
      </c>
      <c r="F73" s="39">
        <f>$B$12</f>
        <v/>
      </c>
    </row>
    <row r="74">
      <c r="A74" t="n">
        <v>49</v>
      </c>
      <c r="B74" t="inlineStr">
        <is>
          <t>01/31/2030</t>
        </is>
      </c>
      <c r="C74" s="39">
        <f>$B$12</f>
        <v/>
      </c>
      <c r="D74" s="39">
        <f>$B$14</f>
        <v/>
      </c>
      <c r="E74" s="39">
        <f>0</f>
        <v/>
      </c>
      <c r="F74" s="39">
        <f>$B$12</f>
        <v/>
      </c>
    </row>
    <row r="75">
      <c r="A75" t="n">
        <v>50</v>
      </c>
      <c r="B75" t="inlineStr">
        <is>
          <t>02/28/2030</t>
        </is>
      </c>
      <c r="C75" s="39">
        <f>$B$12</f>
        <v/>
      </c>
      <c r="D75" s="39">
        <f>$B$14</f>
        <v/>
      </c>
      <c r="E75" s="39">
        <f>0</f>
        <v/>
      </c>
      <c r="F75" s="39">
        <f>$B$12</f>
        <v/>
      </c>
    </row>
    <row r="76">
      <c r="A76" t="n">
        <v>51</v>
      </c>
      <c r="B76" t="inlineStr">
        <is>
          <t>03/31/2030</t>
        </is>
      </c>
      <c r="C76" s="39">
        <f>$B$12</f>
        <v/>
      </c>
      <c r="D76" s="39">
        <f>$B$14</f>
        <v/>
      </c>
      <c r="E76" s="39">
        <f>0</f>
        <v/>
      </c>
      <c r="F76" s="39">
        <f>$B$12</f>
        <v/>
      </c>
    </row>
    <row r="77">
      <c r="A77" t="n">
        <v>52</v>
      </c>
      <c r="B77" t="inlineStr">
        <is>
          <t>04/30/2030</t>
        </is>
      </c>
      <c r="C77" s="39">
        <f>$B$12</f>
        <v/>
      </c>
      <c r="D77" s="39">
        <f>$B$14</f>
        <v/>
      </c>
      <c r="E77" s="39">
        <f>0</f>
        <v/>
      </c>
      <c r="F77" s="39">
        <f>$B$12</f>
        <v/>
      </c>
    </row>
    <row r="78">
      <c r="A78" t="n">
        <v>53</v>
      </c>
      <c r="B78" t="inlineStr">
        <is>
          <t>05/31/2030</t>
        </is>
      </c>
      <c r="C78" s="39">
        <f>$B$12</f>
        <v/>
      </c>
      <c r="D78" s="39">
        <f>$B$14</f>
        <v/>
      </c>
      <c r="E78" s="39">
        <f>0</f>
        <v/>
      </c>
      <c r="F78" s="39">
        <f>$B$12</f>
        <v/>
      </c>
    </row>
    <row r="79">
      <c r="A79" t="n">
        <v>54</v>
      </c>
      <c r="B79" t="inlineStr">
        <is>
          <t>06/30/2030</t>
        </is>
      </c>
      <c r="C79" s="39">
        <f>$B$12</f>
        <v/>
      </c>
      <c r="D79" s="39">
        <f>$B$14</f>
        <v/>
      </c>
      <c r="E79" s="39">
        <f>0</f>
        <v/>
      </c>
      <c r="F79" s="39">
        <f>$B$12</f>
        <v/>
      </c>
    </row>
    <row r="80">
      <c r="A80" t="n">
        <v>55</v>
      </c>
      <c r="B80" t="inlineStr">
        <is>
          <t>07/31/2030</t>
        </is>
      </c>
      <c r="C80" s="39">
        <f>$B$12</f>
        <v/>
      </c>
      <c r="D80" s="39">
        <f>$B$14</f>
        <v/>
      </c>
      <c r="E80" s="39">
        <f>0</f>
        <v/>
      </c>
      <c r="F80" s="39">
        <f>$B$12</f>
        <v/>
      </c>
    </row>
    <row r="81">
      <c r="A81" t="n">
        <v>56</v>
      </c>
      <c r="B81" t="inlineStr">
        <is>
          <t>08/31/2030</t>
        </is>
      </c>
      <c r="C81" s="39">
        <f>$B$12</f>
        <v/>
      </c>
      <c r="D81" s="39">
        <f>$B$14</f>
        <v/>
      </c>
      <c r="E81" s="39">
        <f>0</f>
        <v/>
      </c>
      <c r="F81" s="39">
        <f>$B$12</f>
        <v/>
      </c>
    </row>
    <row r="82">
      <c r="A82" t="n">
        <v>57</v>
      </c>
      <c r="B82" t="inlineStr">
        <is>
          <t>09/30/2030</t>
        </is>
      </c>
      <c r="C82" s="39">
        <f>$B$12</f>
        <v/>
      </c>
      <c r="D82" s="39">
        <f>$B$14</f>
        <v/>
      </c>
      <c r="E82" s="39">
        <f>0</f>
        <v/>
      </c>
      <c r="F82" s="39">
        <f>$B$12</f>
        <v/>
      </c>
    </row>
    <row r="83">
      <c r="A83" t="n">
        <v>58</v>
      </c>
      <c r="B83" t="inlineStr">
        <is>
          <t>10/31/2030</t>
        </is>
      </c>
      <c r="C83" s="39">
        <f>$B$12</f>
        <v/>
      </c>
      <c r="D83" s="39">
        <f>$B$14</f>
        <v/>
      </c>
      <c r="E83" s="39">
        <f>0</f>
        <v/>
      </c>
      <c r="F83" s="39">
        <f>$B$12</f>
        <v/>
      </c>
    </row>
    <row r="84">
      <c r="A84" t="n">
        <v>59</v>
      </c>
      <c r="B84" t="inlineStr">
        <is>
          <t>11/30/2030</t>
        </is>
      </c>
      <c r="C84" s="39">
        <f>$B$12</f>
        <v/>
      </c>
      <c r="D84" s="39">
        <f>$B$14</f>
        <v/>
      </c>
      <c r="E84" s="39">
        <f>0</f>
        <v/>
      </c>
      <c r="F84" s="39">
        <f>$B$12</f>
        <v/>
      </c>
    </row>
    <row r="85">
      <c r="A85" t="n">
        <v>60</v>
      </c>
      <c r="B85" t="inlineStr">
        <is>
          <t>12/31/2030</t>
        </is>
      </c>
      <c r="C85" s="39">
        <f>$B$12</f>
        <v/>
      </c>
      <c r="D85" s="39">
        <f>$B$14</f>
        <v/>
      </c>
      <c r="E85" s="39">
        <f>0</f>
        <v/>
      </c>
      <c r="F85" s="39">
        <f>$B$12</f>
        <v/>
      </c>
    </row>
    <row r="87">
      <c r="A87" s="78" t="inlineStr">
        <is>
          <t>... Schedule continues until maturity (08/29/2045)</t>
        </is>
      </c>
    </row>
    <row r="89">
      <c r="A89" s="2" t="inlineStr">
        <is>
          <t>ANNUAL SUMMARY</t>
        </is>
      </c>
    </row>
    <row r="90">
      <c r="A90" s="66" t="inlineStr">
        <is>
          <t>Year</t>
        </is>
      </c>
      <c r="B90" s="66" t="inlineStr"/>
      <c r="C90" s="66" t="inlineStr">
        <is>
          <t>Ending Balance</t>
        </is>
      </c>
      <c r="D90" s="66" t="inlineStr">
        <is>
          <t>Interest Expense</t>
        </is>
      </c>
      <c r="E90" s="66" t="inlineStr">
        <is>
          <t>Principal Paid</t>
        </is>
      </c>
      <c r="F90" s="66" t="inlineStr"/>
    </row>
    <row r="91">
      <c r="A91" t="n">
        <v>2026</v>
      </c>
      <c r="C91" s="76">
        <f>$B$12</f>
        <v/>
      </c>
      <c r="D91" s="76">
        <f>D26+D27+D28+D29+D30+D31+D32+D33+D34+D35+D36+D37</f>
        <v/>
      </c>
      <c r="E91" s="76">
        <f>0</f>
        <v/>
      </c>
    </row>
    <row r="92">
      <c r="A92" t="n">
        <v>2027</v>
      </c>
      <c r="C92" s="76">
        <f>$B$12</f>
        <v/>
      </c>
      <c r="D92" s="76">
        <f>D38+D39+D40+D41+D42+D43+D44+D45+D46+D47+D48+D49</f>
        <v/>
      </c>
      <c r="E92" s="76">
        <f>0</f>
        <v/>
      </c>
    </row>
    <row r="93">
      <c r="A93" t="n">
        <v>2028</v>
      </c>
      <c r="C93" s="76">
        <f>$B$12</f>
        <v/>
      </c>
      <c r="D93" s="76">
        <f>D50+D51+D52+D53+D54+D55+D56+D57+D58+D59+D60+D61</f>
        <v/>
      </c>
      <c r="E93" s="76">
        <f>0</f>
        <v/>
      </c>
    </row>
    <row r="94">
      <c r="A94" t="n">
        <v>2029</v>
      </c>
      <c r="C94" s="76">
        <f>$B$12</f>
        <v/>
      </c>
      <c r="D94" s="76">
        <f>D62+D63+D64+D65+D66+D67+D68+D69+D70+D71+D72+D73</f>
        <v/>
      </c>
      <c r="E94" s="76">
        <f>0</f>
        <v/>
      </c>
    </row>
    <row r="95">
      <c r="A95" t="n">
        <v>2030</v>
      </c>
      <c r="C95" s="76">
        <f>$B$12</f>
        <v/>
      </c>
      <c r="D95" s="76">
        <f>D74+D75+D76+D77+D78+D79+D80+D81+D82+D83+D84+D85</f>
        <v/>
      </c>
      <c r="E95" s="76">
        <f>0</f>
        <v/>
      </c>
    </row>
    <row r="97">
      <c r="A97" t="inlineStr">
        <is>
          <t>Current Balance</t>
        </is>
      </c>
      <c r="B97" s="77">
        <f>$B$12</f>
        <v/>
      </c>
    </row>
  </sheetData>
  <mergeCells count="12">
    <mergeCell ref="A24:F24"/>
    <mergeCell ref="A16:F16"/>
    <mergeCell ref="A11:F11"/>
    <mergeCell ref="A19:F19"/>
    <mergeCell ref="A1:F1"/>
    <mergeCell ref="A89:F89"/>
    <mergeCell ref="A22:F22"/>
    <mergeCell ref="A17:F17"/>
    <mergeCell ref="A18:F18"/>
    <mergeCell ref="A20:F20"/>
    <mergeCell ref="A21:F21"/>
    <mergeCell ref="A87:F87"/>
  </mergeCells>
  <pageMargins left="0.75" right="0.75" top="1" bottom="1" header="0.5" footer="0.5"/>
  <legacyDrawing xmlns:r="http://schemas.openxmlformats.org/officeDocument/2006/relationships" r:id="anysvml"/>
</worksheet>
</file>

<file path=xl/worksheets/sheet81.xml><?xml version="1.0" encoding="utf-8"?>
<worksheet xmlns="http://schemas.openxmlformats.org/spreadsheetml/2006/main">
  <sheetPr>
    <tabColor rgb="00808080"/>
    <outlinePr summaryBelow="1" summaryRight="1"/>
    <pageSetUpPr/>
  </sheetPr>
  <dimension ref="A1:F97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2" t="inlineStr">
        <is>
          <t>LOAN DETAILS</t>
        </is>
      </c>
    </row>
    <row r="2">
      <c r="A2" t="inlineStr">
        <is>
          <t>Lender</t>
        </is>
      </c>
      <c r="B2" t="inlineStr">
        <is>
          <t>Commonwealth</t>
        </is>
      </c>
    </row>
    <row r="3">
      <c r="A3" t="inlineStr">
        <is>
          <t>Loan ID</t>
        </is>
      </c>
      <c r="B3" t="inlineStr">
        <is>
          <t>10-2927-000-000-00</t>
        </is>
      </c>
    </row>
    <row r="4">
      <c r="A4" t="inlineStr">
        <is>
          <t>Loan Number</t>
        </is>
      </c>
      <c r="B4" t="inlineStr">
        <is>
          <t>All Interest Loan</t>
        </is>
      </c>
    </row>
    <row r="5">
      <c r="A5" t="inlineStr">
        <is>
          <t>Description</t>
        </is>
      </c>
      <c r="B5" t="inlineStr">
        <is>
          <t>Harrison (MH5)</t>
        </is>
      </c>
    </row>
    <row r="6">
      <c r="A6" t="inlineStr">
        <is>
          <t>Collateral</t>
        </is>
      </c>
      <c r="B6" t="inlineStr">
        <is>
          <t>Real Estate — 2210 Harrison, Rockford IL</t>
        </is>
      </c>
    </row>
    <row r="7">
      <c r="A7" t="inlineStr">
        <is>
          <t>Origination Date</t>
        </is>
      </c>
      <c r="B7" t="inlineStr">
        <is>
          <t>08/29/2025</t>
        </is>
      </c>
    </row>
    <row r="8">
      <c r="A8" t="inlineStr">
        <is>
          <t>Maturity Date</t>
        </is>
      </c>
      <c r="B8" t="inlineStr">
        <is>
          <t>08/29/2045</t>
        </is>
      </c>
    </row>
    <row r="9">
      <c r="A9" t="inlineStr">
        <is>
          <t>Loan Type</t>
        </is>
      </c>
      <c r="B9" t="inlineStr">
        <is>
          <t>INTEREST_ONLY_BALLOON</t>
        </is>
      </c>
    </row>
    <row r="11">
      <c r="A11" s="2" t="inlineStr">
        <is>
          <t>LOAN ASSUMPTIONS</t>
        </is>
      </c>
    </row>
    <row r="12">
      <c r="A12" t="inlineStr">
        <is>
          <t>Principal Balance</t>
        </is>
      </c>
      <c r="B12" s="5" t="n">
        <v>8840000</v>
      </c>
    </row>
    <row r="13">
      <c r="A13" t="inlineStr">
        <is>
          <t>Interest Rate (Annual)</t>
        </is>
      </c>
      <c r="B13" s="6" t="n">
        <v>0.09</v>
      </c>
    </row>
    <row r="14">
      <c r="A14" t="inlineStr">
        <is>
          <t>Monthly Payment (Interest Only)</t>
        </is>
      </c>
      <c r="B14" s="5" t="n">
        <v>66300</v>
      </c>
    </row>
    <row r="16">
      <c r="A16" s="2" t="inlineStr">
        <is>
          <t>AI ANALYSIS</t>
        </is>
      </c>
    </row>
    <row r="17">
      <c r="A17" s="9" t="inlineStr">
        <is>
          <t>Loan Type: Interest-Only Balloon (Real Estate)</t>
        </is>
      </c>
    </row>
    <row r="18">
      <c r="A18" s="9" t="inlineStr">
        <is>
          <t>This is a 20-year interest-only real estate loan.</t>
        </is>
      </c>
    </row>
    <row r="19">
      <c r="A19" s="9" t="inlineStr">
        <is>
          <t>Monthly payment of $66,300 = interest only (no principal amortization).</t>
        </is>
      </c>
    </row>
    <row r="20">
      <c r="A20" s="9" t="inlineStr">
        <is>
          <t>Implied rate check: $66,300 x 12 = $795,600 / $8,840,000 = 9.00% (matches stated rate).</t>
        </is>
      </c>
    </row>
    <row r="21">
      <c r="A21" s="9" t="inlineStr">
        <is>
          <t>Principal balance remains at $8,840,000 until balloon payment at maturity.</t>
        </is>
      </c>
    </row>
    <row r="22">
      <c r="A22" s="9" t="inlineStr">
        <is>
          <t>Full principal due at maturity: 08/29/2045.</t>
        </is>
      </c>
    </row>
    <row r="24">
      <c r="A24" s="2" t="inlineStr">
        <is>
          <t>INTEREST SCHEDULE</t>
        </is>
      </c>
    </row>
    <row r="25">
      <c r="A25" s="66" t="inlineStr">
        <is>
          <t>Month #</t>
        </is>
      </c>
      <c r="B25" s="66" t="inlineStr">
        <is>
          <t>Date</t>
        </is>
      </c>
      <c r="C25" s="66" t="inlineStr">
        <is>
          <t>Principal Balance</t>
        </is>
      </c>
      <c r="D25" s="66" t="inlineStr">
        <is>
          <t>Interest Expense</t>
        </is>
      </c>
      <c r="E25" s="66" t="inlineStr">
        <is>
          <t>Principal Paid</t>
        </is>
      </c>
      <c r="F25" s="66" t="inlineStr">
        <is>
          <t>Ending Balance</t>
        </is>
      </c>
    </row>
    <row r="26">
      <c r="A26" t="n">
        <v>1</v>
      </c>
      <c r="B26" t="inlineStr">
        <is>
          <t>01/31/2026</t>
        </is>
      </c>
      <c r="C26" s="39">
        <f>$B$12</f>
        <v/>
      </c>
      <c r="D26" s="39">
        <f>$B$14</f>
        <v/>
      </c>
      <c r="E26" s="39">
        <f>0</f>
        <v/>
      </c>
      <c r="F26" s="39">
        <f>$B$12</f>
        <v/>
      </c>
    </row>
    <row r="27">
      <c r="A27" t="n">
        <v>2</v>
      </c>
      <c r="B27" t="inlineStr">
        <is>
          <t>02/28/2026</t>
        </is>
      </c>
      <c r="C27" s="39">
        <f>$B$12</f>
        <v/>
      </c>
      <c r="D27" s="39">
        <f>$B$14</f>
        <v/>
      </c>
      <c r="E27" s="39">
        <f>0</f>
        <v/>
      </c>
      <c r="F27" s="39">
        <f>$B$12</f>
        <v/>
      </c>
    </row>
    <row r="28">
      <c r="A28" t="n">
        <v>3</v>
      </c>
      <c r="B28" t="inlineStr">
        <is>
          <t>03/31/2026</t>
        </is>
      </c>
      <c r="C28" s="39">
        <f>$B$12</f>
        <v/>
      </c>
      <c r="D28" s="39">
        <f>$B$14</f>
        <v/>
      </c>
      <c r="E28" s="39">
        <f>0</f>
        <v/>
      </c>
      <c r="F28" s="39">
        <f>$B$12</f>
        <v/>
      </c>
    </row>
    <row r="29">
      <c r="A29" t="n">
        <v>4</v>
      </c>
      <c r="B29" t="inlineStr">
        <is>
          <t>04/30/2026</t>
        </is>
      </c>
      <c r="C29" s="39">
        <f>$B$12</f>
        <v/>
      </c>
      <c r="D29" s="39">
        <f>$B$14</f>
        <v/>
      </c>
      <c r="E29" s="39">
        <f>0</f>
        <v/>
      </c>
      <c r="F29" s="39">
        <f>$B$12</f>
        <v/>
      </c>
    </row>
    <row r="30">
      <c r="A30" t="n">
        <v>5</v>
      </c>
      <c r="B30" t="inlineStr">
        <is>
          <t>05/31/2026</t>
        </is>
      </c>
      <c r="C30" s="39">
        <f>$B$12</f>
        <v/>
      </c>
      <c r="D30" s="39">
        <f>$B$14</f>
        <v/>
      </c>
      <c r="E30" s="39">
        <f>0</f>
        <v/>
      </c>
      <c r="F30" s="39">
        <f>$B$12</f>
        <v/>
      </c>
    </row>
    <row r="31">
      <c r="A31" t="n">
        <v>6</v>
      </c>
      <c r="B31" t="inlineStr">
        <is>
          <t>06/30/2026</t>
        </is>
      </c>
      <c r="C31" s="39">
        <f>$B$12</f>
        <v/>
      </c>
      <c r="D31" s="39">
        <f>$B$14</f>
        <v/>
      </c>
      <c r="E31" s="39">
        <f>0</f>
        <v/>
      </c>
      <c r="F31" s="39">
        <f>$B$12</f>
        <v/>
      </c>
    </row>
    <row r="32">
      <c r="A32" t="n">
        <v>7</v>
      </c>
      <c r="B32" t="inlineStr">
        <is>
          <t>07/31/2026</t>
        </is>
      </c>
      <c r="C32" s="39">
        <f>$B$12</f>
        <v/>
      </c>
      <c r="D32" s="39">
        <f>$B$14</f>
        <v/>
      </c>
      <c r="E32" s="39">
        <f>0</f>
        <v/>
      </c>
      <c r="F32" s="39">
        <f>$B$12</f>
        <v/>
      </c>
    </row>
    <row r="33">
      <c r="A33" t="n">
        <v>8</v>
      </c>
      <c r="B33" t="inlineStr">
        <is>
          <t>08/31/2026</t>
        </is>
      </c>
      <c r="C33" s="39">
        <f>$B$12</f>
        <v/>
      </c>
      <c r="D33" s="39">
        <f>$B$14</f>
        <v/>
      </c>
      <c r="E33" s="39">
        <f>0</f>
        <v/>
      </c>
      <c r="F33" s="39">
        <f>$B$12</f>
        <v/>
      </c>
    </row>
    <row r="34">
      <c r="A34" t="n">
        <v>9</v>
      </c>
      <c r="B34" t="inlineStr">
        <is>
          <t>09/30/2026</t>
        </is>
      </c>
      <c r="C34" s="39">
        <f>$B$12</f>
        <v/>
      </c>
      <c r="D34" s="39">
        <f>$B$14</f>
        <v/>
      </c>
      <c r="E34" s="39">
        <f>0</f>
        <v/>
      </c>
      <c r="F34" s="39">
        <f>$B$12</f>
        <v/>
      </c>
    </row>
    <row r="35">
      <c r="A35" t="n">
        <v>10</v>
      </c>
      <c r="B35" t="inlineStr">
        <is>
          <t>10/31/2026</t>
        </is>
      </c>
      <c r="C35" s="39">
        <f>$B$12</f>
        <v/>
      </c>
      <c r="D35" s="39">
        <f>$B$14</f>
        <v/>
      </c>
      <c r="E35" s="39">
        <f>0</f>
        <v/>
      </c>
      <c r="F35" s="39">
        <f>$B$12</f>
        <v/>
      </c>
    </row>
    <row r="36">
      <c r="A36" t="n">
        <v>11</v>
      </c>
      <c r="B36" t="inlineStr">
        <is>
          <t>11/30/2026</t>
        </is>
      </c>
      <c r="C36" s="39">
        <f>$B$12</f>
        <v/>
      </c>
      <c r="D36" s="39">
        <f>$B$14</f>
        <v/>
      </c>
      <c r="E36" s="39">
        <f>0</f>
        <v/>
      </c>
      <c r="F36" s="39">
        <f>$B$12</f>
        <v/>
      </c>
    </row>
    <row r="37">
      <c r="A37" t="n">
        <v>12</v>
      </c>
      <c r="B37" t="inlineStr">
        <is>
          <t>12/31/2026</t>
        </is>
      </c>
      <c r="C37" s="39">
        <f>$B$12</f>
        <v/>
      </c>
      <c r="D37" s="39">
        <f>$B$14</f>
        <v/>
      </c>
      <c r="E37" s="39">
        <f>0</f>
        <v/>
      </c>
      <c r="F37" s="39">
        <f>$B$12</f>
        <v/>
      </c>
    </row>
    <row r="38">
      <c r="A38" t="n">
        <v>13</v>
      </c>
      <c r="B38" t="inlineStr">
        <is>
          <t>01/31/2027</t>
        </is>
      </c>
      <c r="C38" s="39">
        <f>$B$12</f>
        <v/>
      </c>
      <c r="D38" s="39">
        <f>$B$14</f>
        <v/>
      </c>
      <c r="E38" s="39">
        <f>0</f>
        <v/>
      </c>
      <c r="F38" s="39">
        <f>$B$12</f>
        <v/>
      </c>
    </row>
    <row r="39">
      <c r="A39" t="n">
        <v>14</v>
      </c>
      <c r="B39" t="inlineStr">
        <is>
          <t>02/28/2027</t>
        </is>
      </c>
      <c r="C39" s="39">
        <f>$B$12</f>
        <v/>
      </c>
      <c r="D39" s="39">
        <f>$B$14</f>
        <v/>
      </c>
      <c r="E39" s="39">
        <f>0</f>
        <v/>
      </c>
      <c r="F39" s="39">
        <f>$B$12</f>
        <v/>
      </c>
    </row>
    <row r="40">
      <c r="A40" t="n">
        <v>15</v>
      </c>
      <c r="B40" t="inlineStr">
        <is>
          <t>03/31/2027</t>
        </is>
      </c>
      <c r="C40" s="39">
        <f>$B$12</f>
        <v/>
      </c>
      <c r="D40" s="39">
        <f>$B$14</f>
        <v/>
      </c>
      <c r="E40" s="39">
        <f>0</f>
        <v/>
      </c>
      <c r="F40" s="39">
        <f>$B$12</f>
        <v/>
      </c>
    </row>
    <row r="41">
      <c r="A41" t="n">
        <v>16</v>
      </c>
      <c r="B41" t="inlineStr">
        <is>
          <t>04/30/2027</t>
        </is>
      </c>
      <c r="C41" s="39">
        <f>$B$12</f>
        <v/>
      </c>
      <c r="D41" s="39">
        <f>$B$14</f>
        <v/>
      </c>
      <c r="E41" s="39">
        <f>0</f>
        <v/>
      </c>
      <c r="F41" s="39">
        <f>$B$12</f>
        <v/>
      </c>
    </row>
    <row r="42">
      <c r="A42" t="n">
        <v>17</v>
      </c>
      <c r="B42" t="inlineStr">
        <is>
          <t>05/31/2027</t>
        </is>
      </c>
      <c r="C42" s="39">
        <f>$B$12</f>
        <v/>
      </c>
      <c r="D42" s="39">
        <f>$B$14</f>
        <v/>
      </c>
      <c r="E42" s="39">
        <f>0</f>
        <v/>
      </c>
      <c r="F42" s="39">
        <f>$B$12</f>
        <v/>
      </c>
    </row>
    <row r="43">
      <c r="A43" t="n">
        <v>18</v>
      </c>
      <c r="B43" t="inlineStr">
        <is>
          <t>06/30/2027</t>
        </is>
      </c>
      <c r="C43" s="39">
        <f>$B$12</f>
        <v/>
      </c>
      <c r="D43" s="39">
        <f>$B$14</f>
        <v/>
      </c>
      <c r="E43" s="39">
        <f>0</f>
        <v/>
      </c>
      <c r="F43" s="39">
        <f>$B$12</f>
        <v/>
      </c>
    </row>
    <row r="44">
      <c r="A44" t="n">
        <v>19</v>
      </c>
      <c r="B44" t="inlineStr">
        <is>
          <t>07/31/2027</t>
        </is>
      </c>
      <c r="C44" s="39">
        <f>$B$12</f>
        <v/>
      </c>
      <c r="D44" s="39">
        <f>$B$14</f>
        <v/>
      </c>
      <c r="E44" s="39">
        <f>0</f>
        <v/>
      </c>
      <c r="F44" s="39">
        <f>$B$12</f>
        <v/>
      </c>
    </row>
    <row r="45">
      <c r="A45" t="n">
        <v>20</v>
      </c>
      <c r="B45" t="inlineStr">
        <is>
          <t>08/31/2027</t>
        </is>
      </c>
      <c r="C45" s="39">
        <f>$B$12</f>
        <v/>
      </c>
      <c r="D45" s="39">
        <f>$B$14</f>
        <v/>
      </c>
      <c r="E45" s="39">
        <f>0</f>
        <v/>
      </c>
      <c r="F45" s="39">
        <f>$B$12</f>
        <v/>
      </c>
    </row>
    <row r="46">
      <c r="A46" t="n">
        <v>21</v>
      </c>
      <c r="B46" t="inlineStr">
        <is>
          <t>09/30/2027</t>
        </is>
      </c>
      <c r="C46" s="39">
        <f>$B$12</f>
        <v/>
      </c>
      <c r="D46" s="39">
        <f>$B$14</f>
        <v/>
      </c>
      <c r="E46" s="39">
        <f>0</f>
        <v/>
      </c>
      <c r="F46" s="39">
        <f>$B$12</f>
        <v/>
      </c>
    </row>
    <row r="47">
      <c r="A47" t="n">
        <v>22</v>
      </c>
      <c r="B47" t="inlineStr">
        <is>
          <t>10/31/2027</t>
        </is>
      </c>
      <c r="C47" s="39">
        <f>$B$12</f>
        <v/>
      </c>
      <c r="D47" s="39">
        <f>$B$14</f>
        <v/>
      </c>
      <c r="E47" s="39">
        <f>0</f>
        <v/>
      </c>
      <c r="F47" s="39">
        <f>$B$12</f>
        <v/>
      </c>
    </row>
    <row r="48">
      <c r="A48" t="n">
        <v>23</v>
      </c>
      <c r="B48" t="inlineStr">
        <is>
          <t>11/30/2027</t>
        </is>
      </c>
      <c r="C48" s="39">
        <f>$B$12</f>
        <v/>
      </c>
      <c r="D48" s="39">
        <f>$B$14</f>
        <v/>
      </c>
      <c r="E48" s="39">
        <f>0</f>
        <v/>
      </c>
      <c r="F48" s="39">
        <f>$B$12</f>
        <v/>
      </c>
    </row>
    <row r="49">
      <c r="A49" t="n">
        <v>24</v>
      </c>
      <c r="B49" t="inlineStr">
        <is>
          <t>12/31/2027</t>
        </is>
      </c>
      <c r="C49" s="39">
        <f>$B$12</f>
        <v/>
      </c>
      <c r="D49" s="39">
        <f>$B$14</f>
        <v/>
      </c>
      <c r="E49" s="39">
        <f>0</f>
        <v/>
      </c>
      <c r="F49" s="39">
        <f>$B$12</f>
        <v/>
      </c>
    </row>
    <row r="50">
      <c r="A50" t="n">
        <v>25</v>
      </c>
      <c r="B50" t="inlineStr">
        <is>
          <t>01/31/2028</t>
        </is>
      </c>
      <c r="C50" s="39">
        <f>$B$12</f>
        <v/>
      </c>
      <c r="D50" s="39">
        <f>$B$14</f>
        <v/>
      </c>
      <c r="E50" s="39">
        <f>0</f>
        <v/>
      </c>
      <c r="F50" s="39">
        <f>$B$12</f>
        <v/>
      </c>
    </row>
    <row r="51">
      <c r="A51" t="n">
        <v>26</v>
      </c>
      <c r="B51" t="inlineStr">
        <is>
          <t>02/29/2028</t>
        </is>
      </c>
      <c r="C51" s="39">
        <f>$B$12</f>
        <v/>
      </c>
      <c r="D51" s="39">
        <f>$B$14</f>
        <v/>
      </c>
      <c r="E51" s="39">
        <f>0</f>
        <v/>
      </c>
      <c r="F51" s="39">
        <f>$B$12</f>
        <v/>
      </c>
    </row>
    <row r="52">
      <c r="A52" t="n">
        <v>27</v>
      </c>
      <c r="B52" t="inlineStr">
        <is>
          <t>03/31/2028</t>
        </is>
      </c>
      <c r="C52" s="39">
        <f>$B$12</f>
        <v/>
      </c>
      <c r="D52" s="39">
        <f>$B$14</f>
        <v/>
      </c>
      <c r="E52" s="39">
        <f>0</f>
        <v/>
      </c>
      <c r="F52" s="39">
        <f>$B$12</f>
        <v/>
      </c>
    </row>
    <row r="53">
      <c r="A53" t="n">
        <v>28</v>
      </c>
      <c r="B53" t="inlineStr">
        <is>
          <t>04/30/2028</t>
        </is>
      </c>
      <c r="C53" s="39">
        <f>$B$12</f>
        <v/>
      </c>
      <c r="D53" s="39">
        <f>$B$14</f>
        <v/>
      </c>
      <c r="E53" s="39">
        <f>0</f>
        <v/>
      </c>
      <c r="F53" s="39">
        <f>$B$12</f>
        <v/>
      </c>
    </row>
    <row r="54">
      <c r="A54" t="n">
        <v>29</v>
      </c>
      <c r="B54" t="inlineStr">
        <is>
          <t>05/31/2028</t>
        </is>
      </c>
      <c r="C54" s="39">
        <f>$B$12</f>
        <v/>
      </c>
      <c r="D54" s="39">
        <f>$B$14</f>
        <v/>
      </c>
      <c r="E54" s="39">
        <f>0</f>
        <v/>
      </c>
      <c r="F54" s="39">
        <f>$B$12</f>
        <v/>
      </c>
    </row>
    <row r="55">
      <c r="A55" t="n">
        <v>30</v>
      </c>
      <c r="B55" t="inlineStr">
        <is>
          <t>06/30/2028</t>
        </is>
      </c>
      <c r="C55" s="39">
        <f>$B$12</f>
        <v/>
      </c>
      <c r="D55" s="39">
        <f>$B$14</f>
        <v/>
      </c>
      <c r="E55" s="39">
        <f>0</f>
        <v/>
      </c>
      <c r="F55" s="39">
        <f>$B$12</f>
        <v/>
      </c>
    </row>
    <row r="56">
      <c r="A56" t="n">
        <v>31</v>
      </c>
      <c r="B56" t="inlineStr">
        <is>
          <t>07/31/2028</t>
        </is>
      </c>
      <c r="C56" s="39">
        <f>$B$12</f>
        <v/>
      </c>
      <c r="D56" s="39">
        <f>$B$14</f>
        <v/>
      </c>
      <c r="E56" s="39">
        <f>0</f>
        <v/>
      </c>
      <c r="F56" s="39">
        <f>$B$12</f>
        <v/>
      </c>
    </row>
    <row r="57">
      <c r="A57" t="n">
        <v>32</v>
      </c>
      <c r="B57" t="inlineStr">
        <is>
          <t>08/31/2028</t>
        </is>
      </c>
      <c r="C57" s="39">
        <f>$B$12</f>
        <v/>
      </c>
      <c r="D57" s="39">
        <f>$B$14</f>
        <v/>
      </c>
      <c r="E57" s="39">
        <f>0</f>
        <v/>
      </c>
      <c r="F57" s="39">
        <f>$B$12</f>
        <v/>
      </c>
    </row>
    <row r="58">
      <c r="A58" t="n">
        <v>33</v>
      </c>
      <c r="B58" t="inlineStr">
        <is>
          <t>09/30/2028</t>
        </is>
      </c>
      <c r="C58" s="39">
        <f>$B$12</f>
        <v/>
      </c>
      <c r="D58" s="39">
        <f>$B$14</f>
        <v/>
      </c>
      <c r="E58" s="39">
        <f>0</f>
        <v/>
      </c>
      <c r="F58" s="39">
        <f>$B$12</f>
        <v/>
      </c>
    </row>
    <row r="59">
      <c r="A59" t="n">
        <v>34</v>
      </c>
      <c r="B59" t="inlineStr">
        <is>
          <t>10/31/2028</t>
        </is>
      </c>
      <c r="C59" s="39">
        <f>$B$12</f>
        <v/>
      </c>
      <c r="D59" s="39">
        <f>$B$14</f>
        <v/>
      </c>
      <c r="E59" s="39">
        <f>0</f>
        <v/>
      </c>
      <c r="F59" s="39">
        <f>$B$12</f>
        <v/>
      </c>
    </row>
    <row r="60">
      <c r="A60" t="n">
        <v>35</v>
      </c>
      <c r="B60" t="inlineStr">
        <is>
          <t>11/30/2028</t>
        </is>
      </c>
      <c r="C60" s="39">
        <f>$B$12</f>
        <v/>
      </c>
      <c r="D60" s="39">
        <f>$B$14</f>
        <v/>
      </c>
      <c r="E60" s="39">
        <f>0</f>
        <v/>
      </c>
      <c r="F60" s="39">
        <f>$B$12</f>
        <v/>
      </c>
    </row>
    <row r="61">
      <c r="A61" t="n">
        <v>36</v>
      </c>
      <c r="B61" t="inlineStr">
        <is>
          <t>12/31/2028</t>
        </is>
      </c>
      <c r="C61" s="39">
        <f>$B$12</f>
        <v/>
      </c>
      <c r="D61" s="39">
        <f>$B$14</f>
        <v/>
      </c>
      <c r="E61" s="39">
        <f>0</f>
        <v/>
      </c>
      <c r="F61" s="39">
        <f>$B$12</f>
        <v/>
      </c>
    </row>
    <row r="62">
      <c r="A62" t="n">
        <v>37</v>
      </c>
      <c r="B62" t="inlineStr">
        <is>
          <t>01/31/2029</t>
        </is>
      </c>
      <c r="C62" s="39">
        <f>$B$12</f>
        <v/>
      </c>
      <c r="D62" s="39">
        <f>$B$14</f>
        <v/>
      </c>
      <c r="E62" s="39">
        <f>0</f>
        <v/>
      </c>
      <c r="F62" s="39">
        <f>$B$12</f>
        <v/>
      </c>
    </row>
    <row r="63">
      <c r="A63" t="n">
        <v>38</v>
      </c>
      <c r="B63" t="inlineStr">
        <is>
          <t>02/28/2029</t>
        </is>
      </c>
      <c r="C63" s="39">
        <f>$B$12</f>
        <v/>
      </c>
      <c r="D63" s="39">
        <f>$B$14</f>
        <v/>
      </c>
      <c r="E63" s="39">
        <f>0</f>
        <v/>
      </c>
      <c r="F63" s="39">
        <f>$B$12</f>
        <v/>
      </c>
    </row>
    <row r="64">
      <c r="A64" t="n">
        <v>39</v>
      </c>
      <c r="B64" t="inlineStr">
        <is>
          <t>03/31/2029</t>
        </is>
      </c>
      <c r="C64" s="39">
        <f>$B$12</f>
        <v/>
      </c>
      <c r="D64" s="39">
        <f>$B$14</f>
        <v/>
      </c>
      <c r="E64" s="39">
        <f>0</f>
        <v/>
      </c>
      <c r="F64" s="39">
        <f>$B$12</f>
        <v/>
      </c>
    </row>
    <row r="65">
      <c r="A65" t="n">
        <v>40</v>
      </c>
      <c r="B65" t="inlineStr">
        <is>
          <t>04/30/2029</t>
        </is>
      </c>
      <c r="C65" s="39">
        <f>$B$12</f>
        <v/>
      </c>
      <c r="D65" s="39">
        <f>$B$14</f>
        <v/>
      </c>
      <c r="E65" s="39">
        <f>0</f>
        <v/>
      </c>
      <c r="F65" s="39">
        <f>$B$12</f>
        <v/>
      </c>
    </row>
    <row r="66">
      <c r="A66" t="n">
        <v>41</v>
      </c>
      <c r="B66" t="inlineStr">
        <is>
          <t>05/31/2029</t>
        </is>
      </c>
      <c r="C66" s="39">
        <f>$B$12</f>
        <v/>
      </c>
      <c r="D66" s="39">
        <f>$B$14</f>
        <v/>
      </c>
      <c r="E66" s="39">
        <f>0</f>
        <v/>
      </c>
      <c r="F66" s="39">
        <f>$B$12</f>
        <v/>
      </c>
    </row>
    <row r="67">
      <c r="A67" t="n">
        <v>42</v>
      </c>
      <c r="B67" t="inlineStr">
        <is>
          <t>06/30/2029</t>
        </is>
      </c>
      <c r="C67" s="39">
        <f>$B$12</f>
        <v/>
      </c>
      <c r="D67" s="39">
        <f>$B$14</f>
        <v/>
      </c>
      <c r="E67" s="39">
        <f>0</f>
        <v/>
      </c>
      <c r="F67" s="39">
        <f>$B$12</f>
        <v/>
      </c>
    </row>
    <row r="68">
      <c r="A68" t="n">
        <v>43</v>
      </c>
      <c r="B68" t="inlineStr">
        <is>
          <t>07/31/2029</t>
        </is>
      </c>
      <c r="C68" s="39">
        <f>$B$12</f>
        <v/>
      </c>
      <c r="D68" s="39">
        <f>$B$14</f>
        <v/>
      </c>
      <c r="E68" s="39">
        <f>0</f>
        <v/>
      </c>
      <c r="F68" s="39">
        <f>$B$12</f>
        <v/>
      </c>
    </row>
    <row r="69">
      <c r="A69" t="n">
        <v>44</v>
      </c>
      <c r="B69" t="inlineStr">
        <is>
          <t>08/31/2029</t>
        </is>
      </c>
      <c r="C69" s="39">
        <f>$B$12</f>
        <v/>
      </c>
      <c r="D69" s="39">
        <f>$B$14</f>
        <v/>
      </c>
      <c r="E69" s="39">
        <f>0</f>
        <v/>
      </c>
      <c r="F69" s="39">
        <f>$B$12</f>
        <v/>
      </c>
    </row>
    <row r="70">
      <c r="A70" t="n">
        <v>45</v>
      </c>
      <c r="B70" t="inlineStr">
        <is>
          <t>09/30/2029</t>
        </is>
      </c>
      <c r="C70" s="39">
        <f>$B$12</f>
        <v/>
      </c>
      <c r="D70" s="39">
        <f>$B$14</f>
        <v/>
      </c>
      <c r="E70" s="39">
        <f>0</f>
        <v/>
      </c>
      <c r="F70" s="39">
        <f>$B$12</f>
        <v/>
      </c>
    </row>
    <row r="71">
      <c r="A71" t="n">
        <v>46</v>
      </c>
      <c r="B71" t="inlineStr">
        <is>
          <t>10/31/2029</t>
        </is>
      </c>
      <c r="C71" s="39">
        <f>$B$12</f>
        <v/>
      </c>
      <c r="D71" s="39">
        <f>$B$14</f>
        <v/>
      </c>
      <c r="E71" s="39">
        <f>0</f>
        <v/>
      </c>
      <c r="F71" s="39">
        <f>$B$12</f>
        <v/>
      </c>
    </row>
    <row r="72">
      <c r="A72" t="n">
        <v>47</v>
      </c>
      <c r="B72" t="inlineStr">
        <is>
          <t>11/30/2029</t>
        </is>
      </c>
      <c r="C72" s="39">
        <f>$B$12</f>
        <v/>
      </c>
      <c r="D72" s="39">
        <f>$B$14</f>
        <v/>
      </c>
      <c r="E72" s="39">
        <f>0</f>
        <v/>
      </c>
      <c r="F72" s="39">
        <f>$B$12</f>
        <v/>
      </c>
    </row>
    <row r="73">
      <c r="A73" t="n">
        <v>48</v>
      </c>
      <c r="B73" t="inlineStr">
        <is>
          <t>12/31/2029</t>
        </is>
      </c>
      <c r="C73" s="39">
        <f>$B$12</f>
        <v/>
      </c>
      <c r="D73" s="39">
        <f>$B$14</f>
        <v/>
      </c>
      <c r="E73" s="39">
        <f>0</f>
        <v/>
      </c>
      <c r="F73" s="39">
        <f>$B$12</f>
        <v/>
      </c>
    </row>
    <row r="74">
      <c r="A74" t="n">
        <v>49</v>
      </c>
      <c r="B74" t="inlineStr">
        <is>
          <t>01/31/2030</t>
        </is>
      </c>
      <c r="C74" s="39">
        <f>$B$12</f>
        <v/>
      </c>
      <c r="D74" s="39">
        <f>$B$14</f>
        <v/>
      </c>
      <c r="E74" s="39">
        <f>0</f>
        <v/>
      </c>
      <c r="F74" s="39">
        <f>$B$12</f>
        <v/>
      </c>
    </row>
    <row r="75">
      <c r="A75" t="n">
        <v>50</v>
      </c>
      <c r="B75" t="inlineStr">
        <is>
          <t>02/28/2030</t>
        </is>
      </c>
      <c r="C75" s="39">
        <f>$B$12</f>
        <v/>
      </c>
      <c r="D75" s="39">
        <f>$B$14</f>
        <v/>
      </c>
      <c r="E75" s="39">
        <f>0</f>
        <v/>
      </c>
      <c r="F75" s="39">
        <f>$B$12</f>
        <v/>
      </c>
    </row>
    <row r="76">
      <c r="A76" t="n">
        <v>51</v>
      </c>
      <c r="B76" t="inlineStr">
        <is>
          <t>03/31/2030</t>
        </is>
      </c>
      <c r="C76" s="39">
        <f>$B$12</f>
        <v/>
      </c>
      <c r="D76" s="39">
        <f>$B$14</f>
        <v/>
      </c>
      <c r="E76" s="39">
        <f>0</f>
        <v/>
      </c>
      <c r="F76" s="39">
        <f>$B$12</f>
        <v/>
      </c>
    </row>
    <row r="77">
      <c r="A77" t="n">
        <v>52</v>
      </c>
      <c r="B77" t="inlineStr">
        <is>
          <t>04/30/2030</t>
        </is>
      </c>
      <c r="C77" s="39">
        <f>$B$12</f>
        <v/>
      </c>
      <c r="D77" s="39">
        <f>$B$14</f>
        <v/>
      </c>
      <c r="E77" s="39">
        <f>0</f>
        <v/>
      </c>
      <c r="F77" s="39">
        <f>$B$12</f>
        <v/>
      </c>
    </row>
    <row r="78">
      <c r="A78" t="n">
        <v>53</v>
      </c>
      <c r="B78" t="inlineStr">
        <is>
          <t>05/31/2030</t>
        </is>
      </c>
      <c r="C78" s="39">
        <f>$B$12</f>
        <v/>
      </c>
      <c r="D78" s="39">
        <f>$B$14</f>
        <v/>
      </c>
      <c r="E78" s="39">
        <f>0</f>
        <v/>
      </c>
      <c r="F78" s="39">
        <f>$B$12</f>
        <v/>
      </c>
    </row>
    <row r="79">
      <c r="A79" t="n">
        <v>54</v>
      </c>
      <c r="B79" t="inlineStr">
        <is>
          <t>06/30/2030</t>
        </is>
      </c>
      <c r="C79" s="39">
        <f>$B$12</f>
        <v/>
      </c>
      <c r="D79" s="39">
        <f>$B$14</f>
        <v/>
      </c>
      <c r="E79" s="39">
        <f>0</f>
        <v/>
      </c>
      <c r="F79" s="39">
        <f>$B$12</f>
        <v/>
      </c>
    </row>
    <row r="80">
      <c r="A80" t="n">
        <v>55</v>
      </c>
      <c r="B80" t="inlineStr">
        <is>
          <t>07/31/2030</t>
        </is>
      </c>
      <c r="C80" s="39">
        <f>$B$12</f>
        <v/>
      </c>
      <c r="D80" s="39">
        <f>$B$14</f>
        <v/>
      </c>
      <c r="E80" s="39">
        <f>0</f>
        <v/>
      </c>
      <c r="F80" s="39">
        <f>$B$12</f>
        <v/>
      </c>
    </row>
    <row r="81">
      <c r="A81" t="n">
        <v>56</v>
      </c>
      <c r="B81" t="inlineStr">
        <is>
          <t>08/31/2030</t>
        </is>
      </c>
      <c r="C81" s="39">
        <f>$B$12</f>
        <v/>
      </c>
      <c r="D81" s="39">
        <f>$B$14</f>
        <v/>
      </c>
      <c r="E81" s="39">
        <f>0</f>
        <v/>
      </c>
      <c r="F81" s="39">
        <f>$B$12</f>
        <v/>
      </c>
    </row>
    <row r="82">
      <c r="A82" t="n">
        <v>57</v>
      </c>
      <c r="B82" t="inlineStr">
        <is>
          <t>09/30/2030</t>
        </is>
      </c>
      <c r="C82" s="39">
        <f>$B$12</f>
        <v/>
      </c>
      <c r="D82" s="39">
        <f>$B$14</f>
        <v/>
      </c>
      <c r="E82" s="39">
        <f>0</f>
        <v/>
      </c>
      <c r="F82" s="39">
        <f>$B$12</f>
        <v/>
      </c>
    </row>
    <row r="83">
      <c r="A83" t="n">
        <v>58</v>
      </c>
      <c r="B83" t="inlineStr">
        <is>
          <t>10/31/2030</t>
        </is>
      </c>
      <c r="C83" s="39">
        <f>$B$12</f>
        <v/>
      </c>
      <c r="D83" s="39">
        <f>$B$14</f>
        <v/>
      </c>
      <c r="E83" s="39">
        <f>0</f>
        <v/>
      </c>
      <c r="F83" s="39">
        <f>$B$12</f>
        <v/>
      </c>
    </row>
    <row r="84">
      <c r="A84" t="n">
        <v>59</v>
      </c>
      <c r="B84" t="inlineStr">
        <is>
          <t>11/30/2030</t>
        </is>
      </c>
      <c r="C84" s="39">
        <f>$B$12</f>
        <v/>
      </c>
      <c r="D84" s="39">
        <f>$B$14</f>
        <v/>
      </c>
      <c r="E84" s="39">
        <f>0</f>
        <v/>
      </c>
      <c r="F84" s="39">
        <f>$B$12</f>
        <v/>
      </c>
    </row>
    <row r="85">
      <c r="A85" t="n">
        <v>60</v>
      </c>
      <c r="B85" t="inlineStr">
        <is>
          <t>12/31/2030</t>
        </is>
      </c>
      <c r="C85" s="39">
        <f>$B$12</f>
        <v/>
      </c>
      <c r="D85" s="39">
        <f>$B$14</f>
        <v/>
      </c>
      <c r="E85" s="39">
        <f>0</f>
        <v/>
      </c>
      <c r="F85" s="39">
        <f>$B$12</f>
        <v/>
      </c>
    </row>
    <row r="87">
      <c r="A87" s="78" t="inlineStr">
        <is>
          <t>... Schedule continues until maturity (08/29/2045)</t>
        </is>
      </c>
    </row>
    <row r="89">
      <c r="A89" s="2" t="inlineStr">
        <is>
          <t>ANNUAL SUMMARY</t>
        </is>
      </c>
    </row>
    <row r="90">
      <c r="A90" s="66" t="inlineStr">
        <is>
          <t>Year</t>
        </is>
      </c>
      <c r="B90" s="66" t="inlineStr"/>
      <c r="C90" s="66" t="inlineStr">
        <is>
          <t>Ending Balance</t>
        </is>
      </c>
      <c r="D90" s="66" t="inlineStr">
        <is>
          <t>Interest Expense</t>
        </is>
      </c>
      <c r="E90" s="66" t="inlineStr">
        <is>
          <t>Principal Paid</t>
        </is>
      </c>
      <c r="F90" s="66" t="inlineStr"/>
    </row>
    <row r="91">
      <c r="A91" t="n">
        <v>2026</v>
      </c>
      <c r="C91" s="76">
        <f>$B$12</f>
        <v/>
      </c>
      <c r="D91" s="76">
        <f>D26+D27+D28+D29+D30+D31+D32+D33+D34+D35+D36+D37</f>
        <v/>
      </c>
      <c r="E91" s="76">
        <f>0</f>
        <v/>
      </c>
    </row>
    <row r="92">
      <c r="A92" t="n">
        <v>2027</v>
      </c>
      <c r="C92" s="76">
        <f>$B$12</f>
        <v/>
      </c>
      <c r="D92" s="76">
        <f>D38+D39+D40+D41+D42+D43+D44+D45+D46+D47+D48+D49</f>
        <v/>
      </c>
      <c r="E92" s="76">
        <f>0</f>
        <v/>
      </c>
    </row>
    <row r="93">
      <c r="A93" t="n">
        <v>2028</v>
      </c>
      <c r="C93" s="76">
        <f>$B$12</f>
        <v/>
      </c>
      <c r="D93" s="76">
        <f>D50+D51+D52+D53+D54+D55+D56+D57+D58+D59+D60+D61</f>
        <v/>
      </c>
      <c r="E93" s="76">
        <f>0</f>
        <v/>
      </c>
    </row>
    <row r="94">
      <c r="A94" t="n">
        <v>2029</v>
      </c>
      <c r="C94" s="76">
        <f>$B$12</f>
        <v/>
      </c>
      <c r="D94" s="76">
        <f>D62+D63+D64+D65+D66+D67+D68+D69+D70+D71+D72+D73</f>
        <v/>
      </c>
      <c r="E94" s="76">
        <f>0</f>
        <v/>
      </c>
    </row>
    <row r="95">
      <c r="A95" t="n">
        <v>2030</v>
      </c>
      <c r="C95" s="76">
        <f>$B$12</f>
        <v/>
      </c>
      <c r="D95" s="76">
        <f>D74+D75+D76+D77+D78+D79+D80+D81+D82+D83+D84+D85</f>
        <v/>
      </c>
      <c r="E95" s="76">
        <f>0</f>
        <v/>
      </c>
    </row>
    <row r="97">
      <c r="A97" t="inlineStr">
        <is>
          <t>Current Balance</t>
        </is>
      </c>
      <c r="B97" s="77">
        <f>$B$12</f>
        <v/>
      </c>
    </row>
  </sheetData>
  <mergeCells count="12">
    <mergeCell ref="A24:F24"/>
    <mergeCell ref="A16:F16"/>
    <mergeCell ref="A11:F11"/>
    <mergeCell ref="A19:F19"/>
    <mergeCell ref="A1:F1"/>
    <mergeCell ref="A89:F89"/>
    <mergeCell ref="A22:F22"/>
    <mergeCell ref="A17:F17"/>
    <mergeCell ref="A18:F18"/>
    <mergeCell ref="A20:F20"/>
    <mergeCell ref="A21:F21"/>
    <mergeCell ref="A87:F87"/>
  </mergeCells>
  <pageMargins left="0.75" right="0.75" top="1" bottom="1" header="0.5" footer="0.5"/>
  <legacyDrawing xmlns:r="http://schemas.openxmlformats.org/officeDocument/2006/relationships" r:id="anysvml"/>
</worksheet>
</file>

<file path=xl/worksheets/sheet82.xml><?xml version="1.0" encoding="utf-8"?>
<worksheet xmlns="http://schemas.openxmlformats.org/spreadsheetml/2006/main">
  <sheetPr>
    <tabColor rgb="00808080"/>
    <outlinePr summaryBelow="1" summaryRight="1"/>
    <pageSetUpPr/>
  </sheetPr>
  <dimension ref="A1:F97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2" t="inlineStr">
        <is>
          <t>LOAN DETAILS</t>
        </is>
      </c>
    </row>
    <row r="2">
      <c r="A2" t="inlineStr">
        <is>
          <t>Lender</t>
        </is>
      </c>
      <c r="B2" t="inlineStr">
        <is>
          <t>Win Win Loan</t>
        </is>
      </c>
    </row>
    <row r="3">
      <c r="A3" t="inlineStr">
        <is>
          <t>Loan ID</t>
        </is>
      </c>
      <c r="B3" t="inlineStr">
        <is>
          <t>10-2926-000-000-00</t>
        </is>
      </c>
    </row>
    <row r="4">
      <c r="A4" t="inlineStr">
        <is>
          <t>Loan Number</t>
        </is>
      </c>
      <c r="B4" t="inlineStr">
        <is>
          <t>All Interest Loan</t>
        </is>
      </c>
    </row>
    <row r="5">
      <c r="A5" t="inlineStr">
        <is>
          <t>Description</t>
        </is>
      </c>
      <c r="B5" t="inlineStr">
        <is>
          <t>Landmark &amp; 11th Street</t>
        </is>
      </c>
    </row>
    <row r="6">
      <c r="A6" t="inlineStr">
        <is>
          <t>Collateral</t>
        </is>
      </c>
      <c r="B6" t="inlineStr">
        <is>
          <t>Real Estate — 795 Landmark, Belvidere IL</t>
        </is>
      </c>
    </row>
    <row r="7">
      <c r="A7" t="inlineStr">
        <is>
          <t>Origination Date</t>
        </is>
      </c>
      <c r="B7" t="inlineStr">
        <is>
          <t>08/01/2025</t>
        </is>
      </c>
    </row>
    <row r="8">
      <c r="A8" t="inlineStr">
        <is>
          <t>Maturity Date</t>
        </is>
      </c>
      <c r="B8" t="inlineStr">
        <is>
          <t>N/A (No Stated Maturity)</t>
        </is>
      </c>
    </row>
    <row r="9">
      <c r="A9" t="inlineStr">
        <is>
          <t>Loan Type</t>
        </is>
      </c>
      <c r="B9" t="inlineStr">
        <is>
          <t>INTEREST_ONLY_BALLOON</t>
        </is>
      </c>
    </row>
    <row r="11">
      <c r="A11" s="2" t="inlineStr">
        <is>
          <t>LOAN ASSUMPTIONS</t>
        </is>
      </c>
    </row>
    <row r="12">
      <c r="A12" t="inlineStr">
        <is>
          <t>Principal Balance</t>
        </is>
      </c>
      <c r="B12" s="5" t="n">
        <v>2500000</v>
      </c>
    </row>
    <row r="13">
      <c r="A13" t="inlineStr">
        <is>
          <t>Interest Rate (Annual)</t>
        </is>
      </c>
      <c r="B13" s="6" t="n">
        <v>0.12</v>
      </c>
    </row>
    <row r="14">
      <c r="A14" t="inlineStr">
        <is>
          <t>Monthly Payment (Interest Only)</t>
        </is>
      </c>
      <c r="B14" s="5" t="n">
        <v>25000</v>
      </c>
    </row>
    <row r="16">
      <c r="A16" s="2" t="inlineStr">
        <is>
          <t>AI ANALYSIS</t>
        </is>
      </c>
    </row>
    <row r="17">
      <c r="A17" s="9" t="inlineStr">
        <is>
          <t>Loan Type: Interest-Only Balloon (Real Estate)</t>
        </is>
      </c>
    </row>
    <row r="18">
      <c r="A18" s="9" t="inlineStr">
        <is>
          <t>This is an interest-only real estate loan with NO STATED MATURITY.</t>
        </is>
      </c>
    </row>
    <row r="19">
      <c r="A19" s="9" t="inlineStr">
        <is>
          <t>Monthly payment of $25,000 = interest only (no principal amortization).</t>
        </is>
      </c>
    </row>
    <row r="20">
      <c r="A20" s="9" t="inlineStr">
        <is>
          <t>Implied rate: $25,000 x 12 = $300,000 / $2,500,000 = 12.00%.</t>
        </is>
      </c>
    </row>
    <row r="21">
      <c r="A21" s="9" t="inlineStr">
        <is>
          <t>Principal balance remains at $2,500,000 indefinitely.</t>
        </is>
      </c>
    </row>
    <row r="22">
      <c r="A22" s="9" t="inlineStr">
        <is>
          <t>CAUTION: No maturity date in source docs - balloon due date unknown.</t>
        </is>
      </c>
    </row>
    <row r="24">
      <c r="A24" s="2" t="inlineStr">
        <is>
          <t>INTEREST SCHEDULE</t>
        </is>
      </c>
    </row>
    <row r="25">
      <c r="A25" s="66" t="inlineStr">
        <is>
          <t>Month #</t>
        </is>
      </c>
      <c r="B25" s="66" t="inlineStr">
        <is>
          <t>Date</t>
        </is>
      </c>
      <c r="C25" s="66" t="inlineStr">
        <is>
          <t>Principal Balance</t>
        </is>
      </c>
      <c r="D25" s="66" t="inlineStr">
        <is>
          <t>Interest Expense</t>
        </is>
      </c>
      <c r="E25" s="66" t="inlineStr">
        <is>
          <t>Principal Paid</t>
        </is>
      </c>
      <c r="F25" s="66" t="inlineStr">
        <is>
          <t>Ending Balance</t>
        </is>
      </c>
    </row>
    <row r="26">
      <c r="A26" t="n">
        <v>1</v>
      </c>
      <c r="B26" t="inlineStr">
        <is>
          <t>01/31/2026</t>
        </is>
      </c>
      <c r="C26" s="39">
        <f>$B$12</f>
        <v/>
      </c>
      <c r="D26" s="39">
        <f>$B$14</f>
        <v/>
      </c>
      <c r="E26" s="39">
        <f>0</f>
        <v/>
      </c>
      <c r="F26" s="39">
        <f>$B$12</f>
        <v/>
      </c>
    </row>
    <row r="27">
      <c r="A27" t="n">
        <v>2</v>
      </c>
      <c r="B27" t="inlineStr">
        <is>
          <t>02/28/2026</t>
        </is>
      </c>
      <c r="C27" s="39">
        <f>$B$12</f>
        <v/>
      </c>
      <c r="D27" s="39">
        <f>$B$14</f>
        <v/>
      </c>
      <c r="E27" s="39">
        <f>0</f>
        <v/>
      </c>
      <c r="F27" s="39">
        <f>$B$12</f>
        <v/>
      </c>
    </row>
    <row r="28">
      <c r="A28" t="n">
        <v>3</v>
      </c>
      <c r="B28" t="inlineStr">
        <is>
          <t>03/31/2026</t>
        </is>
      </c>
      <c r="C28" s="39">
        <f>$B$12</f>
        <v/>
      </c>
      <c r="D28" s="39">
        <f>$B$14</f>
        <v/>
      </c>
      <c r="E28" s="39">
        <f>0</f>
        <v/>
      </c>
      <c r="F28" s="39">
        <f>$B$12</f>
        <v/>
      </c>
    </row>
    <row r="29">
      <c r="A29" t="n">
        <v>4</v>
      </c>
      <c r="B29" t="inlineStr">
        <is>
          <t>04/30/2026</t>
        </is>
      </c>
      <c r="C29" s="39">
        <f>$B$12</f>
        <v/>
      </c>
      <c r="D29" s="39">
        <f>$B$14</f>
        <v/>
      </c>
      <c r="E29" s="39">
        <f>0</f>
        <v/>
      </c>
      <c r="F29" s="39">
        <f>$B$12</f>
        <v/>
      </c>
    </row>
    <row r="30">
      <c r="A30" t="n">
        <v>5</v>
      </c>
      <c r="B30" t="inlineStr">
        <is>
          <t>05/31/2026</t>
        </is>
      </c>
      <c r="C30" s="39">
        <f>$B$12</f>
        <v/>
      </c>
      <c r="D30" s="39">
        <f>$B$14</f>
        <v/>
      </c>
      <c r="E30" s="39">
        <f>0</f>
        <v/>
      </c>
      <c r="F30" s="39">
        <f>$B$12</f>
        <v/>
      </c>
    </row>
    <row r="31">
      <c r="A31" t="n">
        <v>6</v>
      </c>
      <c r="B31" t="inlineStr">
        <is>
          <t>06/30/2026</t>
        </is>
      </c>
      <c r="C31" s="39">
        <f>$B$12</f>
        <v/>
      </c>
      <c r="D31" s="39">
        <f>$B$14</f>
        <v/>
      </c>
      <c r="E31" s="39">
        <f>0</f>
        <v/>
      </c>
      <c r="F31" s="39">
        <f>$B$12</f>
        <v/>
      </c>
    </row>
    <row r="32">
      <c r="A32" t="n">
        <v>7</v>
      </c>
      <c r="B32" t="inlineStr">
        <is>
          <t>07/31/2026</t>
        </is>
      </c>
      <c r="C32" s="39">
        <f>$B$12</f>
        <v/>
      </c>
      <c r="D32" s="39">
        <f>$B$14</f>
        <v/>
      </c>
      <c r="E32" s="39">
        <f>0</f>
        <v/>
      </c>
      <c r="F32" s="39">
        <f>$B$12</f>
        <v/>
      </c>
    </row>
    <row r="33">
      <c r="A33" t="n">
        <v>8</v>
      </c>
      <c r="B33" t="inlineStr">
        <is>
          <t>08/31/2026</t>
        </is>
      </c>
      <c r="C33" s="39">
        <f>$B$12</f>
        <v/>
      </c>
      <c r="D33" s="39">
        <f>$B$14</f>
        <v/>
      </c>
      <c r="E33" s="39">
        <f>0</f>
        <v/>
      </c>
      <c r="F33" s="39">
        <f>$B$12</f>
        <v/>
      </c>
    </row>
    <row r="34">
      <c r="A34" t="n">
        <v>9</v>
      </c>
      <c r="B34" t="inlineStr">
        <is>
          <t>09/30/2026</t>
        </is>
      </c>
      <c r="C34" s="39">
        <f>$B$12</f>
        <v/>
      </c>
      <c r="D34" s="39">
        <f>$B$14</f>
        <v/>
      </c>
      <c r="E34" s="39">
        <f>0</f>
        <v/>
      </c>
      <c r="F34" s="39">
        <f>$B$12</f>
        <v/>
      </c>
    </row>
    <row r="35">
      <c r="A35" t="n">
        <v>10</v>
      </c>
      <c r="B35" t="inlineStr">
        <is>
          <t>10/31/2026</t>
        </is>
      </c>
      <c r="C35" s="39">
        <f>$B$12</f>
        <v/>
      </c>
      <c r="D35" s="39">
        <f>$B$14</f>
        <v/>
      </c>
      <c r="E35" s="39">
        <f>0</f>
        <v/>
      </c>
      <c r="F35" s="39">
        <f>$B$12</f>
        <v/>
      </c>
    </row>
    <row r="36">
      <c r="A36" t="n">
        <v>11</v>
      </c>
      <c r="B36" t="inlineStr">
        <is>
          <t>11/30/2026</t>
        </is>
      </c>
      <c r="C36" s="39">
        <f>$B$12</f>
        <v/>
      </c>
      <c r="D36" s="39">
        <f>$B$14</f>
        <v/>
      </c>
      <c r="E36" s="39">
        <f>0</f>
        <v/>
      </c>
      <c r="F36" s="39">
        <f>$B$12</f>
        <v/>
      </c>
    </row>
    <row r="37">
      <c r="A37" t="n">
        <v>12</v>
      </c>
      <c r="B37" t="inlineStr">
        <is>
          <t>12/31/2026</t>
        </is>
      </c>
      <c r="C37" s="39">
        <f>$B$12</f>
        <v/>
      </c>
      <c r="D37" s="39">
        <f>$B$14</f>
        <v/>
      </c>
      <c r="E37" s="39">
        <f>0</f>
        <v/>
      </c>
      <c r="F37" s="39">
        <f>$B$12</f>
        <v/>
      </c>
    </row>
    <row r="38">
      <c r="A38" t="n">
        <v>13</v>
      </c>
      <c r="B38" t="inlineStr">
        <is>
          <t>01/31/2027</t>
        </is>
      </c>
      <c r="C38" s="39">
        <f>$B$12</f>
        <v/>
      </c>
      <c r="D38" s="39">
        <f>$B$14</f>
        <v/>
      </c>
      <c r="E38" s="39">
        <f>0</f>
        <v/>
      </c>
      <c r="F38" s="39">
        <f>$B$12</f>
        <v/>
      </c>
    </row>
    <row r="39">
      <c r="A39" t="n">
        <v>14</v>
      </c>
      <c r="B39" t="inlineStr">
        <is>
          <t>02/28/2027</t>
        </is>
      </c>
      <c r="C39" s="39">
        <f>$B$12</f>
        <v/>
      </c>
      <c r="D39" s="39">
        <f>$B$14</f>
        <v/>
      </c>
      <c r="E39" s="39">
        <f>0</f>
        <v/>
      </c>
      <c r="F39" s="39">
        <f>$B$12</f>
        <v/>
      </c>
    </row>
    <row r="40">
      <c r="A40" t="n">
        <v>15</v>
      </c>
      <c r="B40" t="inlineStr">
        <is>
          <t>03/31/2027</t>
        </is>
      </c>
      <c r="C40" s="39">
        <f>$B$12</f>
        <v/>
      </c>
      <c r="D40" s="39">
        <f>$B$14</f>
        <v/>
      </c>
      <c r="E40" s="39">
        <f>0</f>
        <v/>
      </c>
      <c r="F40" s="39">
        <f>$B$12</f>
        <v/>
      </c>
    </row>
    <row r="41">
      <c r="A41" t="n">
        <v>16</v>
      </c>
      <c r="B41" t="inlineStr">
        <is>
          <t>04/30/2027</t>
        </is>
      </c>
      <c r="C41" s="39">
        <f>$B$12</f>
        <v/>
      </c>
      <c r="D41" s="39">
        <f>$B$14</f>
        <v/>
      </c>
      <c r="E41" s="39">
        <f>0</f>
        <v/>
      </c>
      <c r="F41" s="39">
        <f>$B$12</f>
        <v/>
      </c>
    </row>
    <row r="42">
      <c r="A42" t="n">
        <v>17</v>
      </c>
      <c r="B42" t="inlineStr">
        <is>
          <t>05/31/2027</t>
        </is>
      </c>
      <c r="C42" s="39">
        <f>$B$12</f>
        <v/>
      </c>
      <c r="D42" s="39">
        <f>$B$14</f>
        <v/>
      </c>
      <c r="E42" s="39">
        <f>0</f>
        <v/>
      </c>
      <c r="F42" s="39">
        <f>$B$12</f>
        <v/>
      </c>
    </row>
    <row r="43">
      <c r="A43" t="n">
        <v>18</v>
      </c>
      <c r="B43" t="inlineStr">
        <is>
          <t>06/30/2027</t>
        </is>
      </c>
      <c r="C43" s="39">
        <f>$B$12</f>
        <v/>
      </c>
      <c r="D43" s="39">
        <f>$B$14</f>
        <v/>
      </c>
      <c r="E43" s="39">
        <f>0</f>
        <v/>
      </c>
      <c r="F43" s="39">
        <f>$B$12</f>
        <v/>
      </c>
    </row>
    <row r="44">
      <c r="A44" t="n">
        <v>19</v>
      </c>
      <c r="B44" t="inlineStr">
        <is>
          <t>07/31/2027</t>
        </is>
      </c>
      <c r="C44" s="39">
        <f>$B$12</f>
        <v/>
      </c>
      <c r="D44" s="39">
        <f>$B$14</f>
        <v/>
      </c>
      <c r="E44" s="39">
        <f>0</f>
        <v/>
      </c>
      <c r="F44" s="39">
        <f>$B$12</f>
        <v/>
      </c>
    </row>
    <row r="45">
      <c r="A45" t="n">
        <v>20</v>
      </c>
      <c r="B45" t="inlineStr">
        <is>
          <t>08/31/2027</t>
        </is>
      </c>
      <c r="C45" s="39">
        <f>$B$12</f>
        <v/>
      </c>
      <c r="D45" s="39">
        <f>$B$14</f>
        <v/>
      </c>
      <c r="E45" s="39">
        <f>0</f>
        <v/>
      </c>
      <c r="F45" s="39">
        <f>$B$12</f>
        <v/>
      </c>
    </row>
    <row r="46">
      <c r="A46" t="n">
        <v>21</v>
      </c>
      <c r="B46" t="inlineStr">
        <is>
          <t>09/30/2027</t>
        </is>
      </c>
      <c r="C46" s="39">
        <f>$B$12</f>
        <v/>
      </c>
      <c r="D46" s="39">
        <f>$B$14</f>
        <v/>
      </c>
      <c r="E46" s="39">
        <f>0</f>
        <v/>
      </c>
      <c r="F46" s="39">
        <f>$B$12</f>
        <v/>
      </c>
    </row>
    <row r="47">
      <c r="A47" t="n">
        <v>22</v>
      </c>
      <c r="B47" t="inlineStr">
        <is>
          <t>10/31/2027</t>
        </is>
      </c>
      <c r="C47" s="39">
        <f>$B$12</f>
        <v/>
      </c>
      <c r="D47" s="39">
        <f>$B$14</f>
        <v/>
      </c>
      <c r="E47" s="39">
        <f>0</f>
        <v/>
      </c>
      <c r="F47" s="39">
        <f>$B$12</f>
        <v/>
      </c>
    </row>
    <row r="48">
      <c r="A48" t="n">
        <v>23</v>
      </c>
      <c r="B48" t="inlineStr">
        <is>
          <t>11/30/2027</t>
        </is>
      </c>
      <c r="C48" s="39">
        <f>$B$12</f>
        <v/>
      </c>
      <c r="D48" s="39">
        <f>$B$14</f>
        <v/>
      </c>
      <c r="E48" s="39">
        <f>0</f>
        <v/>
      </c>
      <c r="F48" s="39">
        <f>$B$12</f>
        <v/>
      </c>
    </row>
    <row r="49">
      <c r="A49" t="n">
        <v>24</v>
      </c>
      <c r="B49" t="inlineStr">
        <is>
          <t>12/31/2027</t>
        </is>
      </c>
      <c r="C49" s="39">
        <f>$B$12</f>
        <v/>
      </c>
      <c r="D49" s="39">
        <f>$B$14</f>
        <v/>
      </c>
      <c r="E49" s="39">
        <f>0</f>
        <v/>
      </c>
      <c r="F49" s="39">
        <f>$B$12</f>
        <v/>
      </c>
    </row>
    <row r="50">
      <c r="A50" t="n">
        <v>25</v>
      </c>
      <c r="B50" t="inlineStr">
        <is>
          <t>01/31/2028</t>
        </is>
      </c>
      <c r="C50" s="39">
        <f>$B$12</f>
        <v/>
      </c>
      <c r="D50" s="39">
        <f>$B$14</f>
        <v/>
      </c>
      <c r="E50" s="39">
        <f>0</f>
        <v/>
      </c>
      <c r="F50" s="39">
        <f>$B$12</f>
        <v/>
      </c>
    </row>
    <row r="51">
      <c r="A51" t="n">
        <v>26</v>
      </c>
      <c r="B51" t="inlineStr">
        <is>
          <t>02/29/2028</t>
        </is>
      </c>
      <c r="C51" s="39">
        <f>$B$12</f>
        <v/>
      </c>
      <c r="D51" s="39">
        <f>$B$14</f>
        <v/>
      </c>
      <c r="E51" s="39">
        <f>0</f>
        <v/>
      </c>
      <c r="F51" s="39">
        <f>$B$12</f>
        <v/>
      </c>
    </row>
    <row r="52">
      <c r="A52" t="n">
        <v>27</v>
      </c>
      <c r="B52" t="inlineStr">
        <is>
          <t>03/31/2028</t>
        </is>
      </c>
      <c r="C52" s="39">
        <f>$B$12</f>
        <v/>
      </c>
      <c r="D52" s="39">
        <f>$B$14</f>
        <v/>
      </c>
      <c r="E52" s="39">
        <f>0</f>
        <v/>
      </c>
      <c r="F52" s="39">
        <f>$B$12</f>
        <v/>
      </c>
    </row>
    <row r="53">
      <c r="A53" t="n">
        <v>28</v>
      </c>
      <c r="B53" t="inlineStr">
        <is>
          <t>04/30/2028</t>
        </is>
      </c>
      <c r="C53" s="39">
        <f>$B$12</f>
        <v/>
      </c>
      <c r="D53" s="39">
        <f>$B$14</f>
        <v/>
      </c>
      <c r="E53" s="39">
        <f>0</f>
        <v/>
      </c>
      <c r="F53" s="39">
        <f>$B$12</f>
        <v/>
      </c>
    </row>
    <row r="54">
      <c r="A54" t="n">
        <v>29</v>
      </c>
      <c r="B54" t="inlineStr">
        <is>
          <t>05/31/2028</t>
        </is>
      </c>
      <c r="C54" s="39">
        <f>$B$12</f>
        <v/>
      </c>
      <c r="D54" s="39">
        <f>$B$14</f>
        <v/>
      </c>
      <c r="E54" s="39">
        <f>0</f>
        <v/>
      </c>
      <c r="F54" s="39">
        <f>$B$12</f>
        <v/>
      </c>
    </row>
    <row r="55">
      <c r="A55" t="n">
        <v>30</v>
      </c>
      <c r="B55" t="inlineStr">
        <is>
          <t>06/30/2028</t>
        </is>
      </c>
      <c r="C55" s="39">
        <f>$B$12</f>
        <v/>
      </c>
      <c r="D55" s="39">
        <f>$B$14</f>
        <v/>
      </c>
      <c r="E55" s="39">
        <f>0</f>
        <v/>
      </c>
      <c r="F55" s="39">
        <f>$B$12</f>
        <v/>
      </c>
    </row>
    <row r="56">
      <c r="A56" t="n">
        <v>31</v>
      </c>
      <c r="B56" t="inlineStr">
        <is>
          <t>07/31/2028</t>
        </is>
      </c>
      <c r="C56" s="39">
        <f>$B$12</f>
        <v/>
      </c>
      <c r="D56" s="39">
        <f>$B$14</f>
        <v/>
      </c>
      <c r="E56" s="39">
        <f>0</f>
        <v/>
      </c>
      <c r="F56" s="39">
        <f>$B$12</f>
        <v/>
      </c>
    </row>
    <row r="57">
      <c r="A57" t="n">
        <v>32</v>
      </c>
      <c r="B57" t="inlineStr">
        <is>
          <t>08/31/2028</t>
        </is>
      </c>
      <c r="C57" s="39">
        <f>$B$12</f>
        <v/>
      </c>
      <c r="D57" s="39">
        <f>$B$14</f>
        <v/>
      </c>
      <c r="E57" s="39">
        <f>0</f>
        <v/>
      </c>
      <c r="F57" s="39">
        <f>$B$12</f>
        <v/>
      </c>
    </row>
    <row r="58">
      <c r="A58" t="n">
        <v>33</v>
      </c>
      <c r="B58" t="inlineStr">
        <is>
          <t>09/30/2028</t>
        </is>
      </c>
      <c r="C58" s="39">
        <f>$B$12</f>
        <v/>
      </c>
      <c r="D58" s="39">
        <f>$B$14</f>
        <v/>
      </c>
      <c r="E58" s="39">
        <f>0</f>
        <v/>
      </c>
      <c r="F58" s="39">
        <f>$B$12</f>
        <v/>
      </c>
    </row>
    <row r="59">
      <c r="A59" t="n">
        <v>34</v>
      </c>
      <c r="B59" t="inlineStr">
        <is>
          <t>10/31/2028</t>
        </is>
      </c>
      <c r="C59" s="39">
        <f>$B$12</f>
        <v/>
      </c>
      <c r="D59" s="39">
        <f>$B$14</f>
        <v/>
      </c>
      <c r="E59" s="39">
        <f>0</f>
        <v/>
      </c>
      <c r="F59" s="39">
        <f>$B$12</f>
        <v/>
      </c>
    </row>
    <row r="60">
      <c r="A60" t="n">
        <v>35</v>
      </c>
      <c r="B60" t="inlineStr">
        <is>
          <t>11/30/2028</t>
        </is>
      </c>
      <c r="C60" s="39">
        <f>$B$12</f>
        <v/>
      </c>
      <c r="D60" s="39">
        <f>$B$14</f>
        <v/>
      </c>
      <c r="E60" s="39">
        <f>0</f>
        <v/>
      </c>
      <c r="F60" s="39">
        <f>$B$12</f>
        <v/>
      </c>
    </row>
    <row r="61">
      <c r="A61" t="n">
        <v>36</v>
      </c>
      <c r="B61" t="inlineStr">
        <is>
          <t>12/31/2028</t>
        </is>
      </c>
      <c r="C61" s="39">
        <f>$B$12</f>
        <v/>
      </c>
      <c r="D61" s="39">
        <f>$B$14</f>
        <v/>
      </c>
      <c r="E61" s="39">
        <f>0</f>
        <v/>
      </c>
      <c r="F61" s="39">
        <f>$B$12</f>
        <v/>
      </c>
    </row>
    <row r="62">
      <c r="A62" t="n">
        <v>37</v>
      </c>
      <c r="B62" t="inlineStr">
        <is>
          <t>01/31/2029</t>
        </is>
      </c>
      <c r="C62" s="39">
        <f>$B$12</f>
        <v/>
      </c>
      <c r="D62" s="39">
        <f>$B$14</f>
        <v/>
      </c>
      <c r="E62" s="39">
        <f>0</f>
        <v/>
      </c>
      <c r="F62" s="39">
        <f>$B$12</f>
        <v/>
      </c>
    </row>
    <row r="63">
      <c r="A63" t="n">
        <v>38</v>
      </c>
      <c r="B63" t="inlineStr">
        <is>
          <t>02/28/2029</t>
        </is>
      </c>
      <c r="C63" s="39">
        <f>$B$12</f>
        <v/>
      </c>
      <c r="D63" s="39">
        <f>$B$14</f>
        <v/>
      </c>
      <c r="E63" s="39">
        <f>0</f>
        <v/>
      </c>
      <c r="F63" s="39">
        <f>$B$12</f>
        <v/>
      </c>
    </row>
    <row r="64">
      <c r="A64" t="n">
        <v>39</v>
      </c>
      <c r="B64" t="inlineStr">
        <is>
          <t>03/31/2029</t>
        </is>
      </c>
      <c r="C64" s="39">
        <f>$B$12</f>
        <v/>
      </c>
      <c r="D64" s="39">
        <f>$B$14</f>
        <v/>
      </c>
      <c r="E64" s="39">
        <f>0</f>
        <v/>
      </c>
      <c r="F64" s="39">
        <f>$B$12</f>
        <v/>
      </c>
    </row>
    <row r="65">
      <c r="A65" t="n">
        <v>40</v>
      </c>
      <c r="B65" t="inlineStr">
        <is>
          <t>04/30/2029</t>
        </is>
      </c>
      <c r="C65" s="39">
        <f>$B$12</f>
        <v/>
      </c>
      <c r="D65" s="39">
        <f>$B$14</f>
        <v/>
      </c>
      <c r="E65" s="39">
        <f>0</f>
        <v/>
      </c>
      <c r="F65" s="39">
        <f>$B$12</f>
        <v/>
      </c>
    </row>
    <row r="66">
      <c r="A66" t="n">
        <v>41</v>
      </c>
      <c r="B66" t="inlineStr">
        <is>
          <t>05/31/2029</t>
        </is>
      </c>
      <c r="C66" s="39">
        <f>$B$12</f>
        <v/>
      </c>
      <c r="D66" s="39">
        <f>$B$14</f>
        <v/>
      </c>
      <c r="E66" s="39">
        <f>0</f>
        <v/>
      </c>
      <c r="F66" s="39">
        <f>$B$12</f>
        <v/>
      </c>
    </row>
    <row r="67">
      <c r="A67" t="n">
        <v>42</v>
      </c>
      <c r="B67" t="inlineStr">
        <is>
          <t>06/30/2029</t>
        </is>
      </c>
      <c r="C67" s="39">
        <f>$B$12</f>
        <v/>
      </c>
      <c r="D67" s="39">
        <f>$B$14</f>
        <v/>
      </c>
      <c r="E67" s="39">
        <f>0</f>
        <v/>
      </c>
      <c r="F67" s="39">
        <f>$B$12</f>
        <v/>
      </c>
    </row>
    <row r="68">
      <c r="A68" t="n">
        <v>43</v>
      </c>
      <c r="B68" t="inlineStr">
        <is>
          <t>07/31/2029</t>
        </is>
      </c>
      <c r="C68" s="39">
        <f>$B$12</f>
        <v/>
      </c>
      <c r="D68" s="39">
        <f>$B$14</f>
        <v/>
      </c>
      <c r="E68" s="39">
        <f>0</f>
        <v/>
      </c>
      <c r="F68" s="39">
        <f>$B$12</f>
        <v/>
      </c>
    </row>
    <row r="69">
      <c r="A69" t="n">
        <v>44</v>
      </c>
      <c r="B69" t="inlineStr">
        <is>
          <t>08/31/2029</t>
        </is>
      </c>
      <c r="C69" s="39">
        <f>$B$12</f>
        <v/>
      </c>
      <c r="D69" s="39">
        <f>$B$14</f>
        <v/>
      </c>
      <c r="E69" s="39">
        <f>0</f>
        <v/>
      </c>
      <c r="F69" s="39">
        <f>$B$12</f>
        <v/>
      </c>
    </row>
    <row r="70">
      <c r="A70" t="n">
        <v>45</v>
      </c>
      <c r="B70" t="inlineStr">
        <is>
          <t>09/30/2029</t>
        </is>
      </c>
      <c r="C70" s="39">
        <f>$B$12</f>
        <v/>
      </c>
      <c r="D70" s="39">
        <f>$B$14</f>
        <v/>
      </c>
      <c r="E70" s="39">
        <f>0</f>
        <v/>
      </c>
      <c r="F70" s="39">
        <f>$B$12</f>
        <v/>
      </c>
    </row>
    <row r="71">
      <c r="A71" t="n">
        <v>46</v>
      </c>
      <c r="B71" t="inlineStr">
        <is>
          <t>10/31/2029</t>
        </is>
      </c>
      <c r="C71" s="39">
        <f>$B$12</f>
        <v/>
      </c>
      <c r="D71" s="39">
        <f>$B$14</f>
        <v/>
      </c>
      <c r="E71" s="39">
        <f>0</f>
        <v/>
      </c>
      <c r="F71" s="39">
        <f>$B$12</f>
        <v/>
      </c>
    </row>
    <row r="72">
      <c r="A72" t="n">
        <v>47</v>
      </c>
      <c r="B72" t="inlineStr">
        <is>
          <t>11/30/2029</t>
        </is>
      </c>
      <c r="C72" s="39">
        <f>$B$12</f>
        <v/>
      </c>
      <c r="D72" s="39">
        <f>$B$14</f>
        <v/>
      </c>
      <c r="E72" s="39">
        <f>0</f>
        <v/>
      </c>
      <c r="F72" s="39">
        <f>$B$12</f>
        <v/>
      </c>
    </row>
    <row r="73">
      <c r="A73" t="n">
        <v>48</v>
      </c>
      <c r="B73" t="inlineStr">
        <is>
          <t>12/31/2029</t>
        </is>
      </c>
      <c r="C73" s="39">
        <f>$B$12</f>
        <v/>
      </c>
      <c r="D73" s="39">
        <f>$B$14</f>
        <v/>
      </c>
      <c r="E73" s="39">
        <f>0</f>
        <v/>
      </c>
      <c r="F73" s="39">
        <f>$B$12</f>
        <v/>
      </c>
    </row>
    <row r="74">
      <c r="A74" t="n">
        <v>49</v>
      </c>
      <c r="B74" t="inlineStr">
        <is>
          <t>01/31/2030</t>
        </is>
      </c>
      <c r="C74" s="39">
        <f>$B$12</f>
        <v/>
      </c>
      <c r="D74" s="39">
        <f>$B$14</f>
        <v/>
      </c>
      <c r="E74" s="39">
        <f>0</f>
        <v/>
      </c>
      <c r="F74" s="39">
        <f>$B$12</f>
        <v/>
      </c>
    </row>
    <row r="75">
      <c r="A75" t="n">
        <v>50</v>
      </c>
      <c r="B75" t="inlineStr">
        <is>
          <t>02/28/2030</t>
        </is>
      </c>
      <c r="C75" s="39">
        <f>$B$12</f>
        <v/>
      </c>
      <c r="D75" s="39">
        <f>$B$14</f>
        <v/>
      </c>
      <c r="E75" s="39">
        <f>0</f>
        <v/>
      </c>
      <c r="F75" s="39">
        <f>$B$12</f>
        <v/>
      </c>
    </row>
    <row r="76">
      <c r="A76" t="n">
        <v>51</v>
      </c>
      <c r="B76" t="inlineStr">
        <is>
          <t>03/31/2030</t>
        </is>
      </c>
      <c r="C76" s="39">
        <f>$B$12</f>
        <v/>
      </c>
      <c r="D76" s="39">
        <f>$B$14</f>
        <v/>
      </c>
      <c r="E76" s="39">
        <f>0</f>
        <v/>
      </c>
      <c r="F76" s="39">
        <f>$B$12</f>
        <v/>
      </c>
    </row>
    <row r="77">
      <c r="A77" t="n">
        <v>52</v>
      </c>
      <c r="B77" t="inlineStr">
        <is>
          <t>04/30/2030</t>
        </is>
      </c>
      <c r="C77" s="39">
        <f>$B$12</f>
        <v/>
      </c>
      <c r="D77" s="39">
        <f>$B$14</f>
        <v/>
      </c>
      <c r="E77" s="39">
        <f>0</f>
        <v/>
      </c>
      <c r="F77" s="39">
        <f>$B$12</f>
        <v/>
      </c>
    </row>
    <row r="78">
      <c r="A78" t="n">
        <v>53</v>
      </c>
      <c r="B78" t="inlineStr">
        <is>
          <t>05/31/2030</t>
        </is>
      </c>
      <c r="C78" s="39">
        <f>$B$12</f>
        <v/>
      </c>
      <c r="D78" s="39">
        <f>$B$14</f>
        <v/>
      </c>
      <c r="E78" s="39">
        <f>0</f>
        <v/>
      </c>
      <c r="F78" s="39">
        <f>$B$12</f>
        <v/>
      </c>
    </row>
    <row r="79">
      <c r="A79" t="n">
        <v>54</v>
      </c>
      <c r="B79" t="inlineStr">
        <is>
          <t>06/30/2030</t>
        </is>
      </c>
      <c r="C79" s="39">
        <f>$B$12</f>
        <v/>
      </c>
      <c r="D79" s="39">
        <f>$B$14</f>
        <v/>
      </c>
      <c r="E79" s="39">
        <f>0</f>
        <v/>
      </c>
      <c r="F79" s="39">
        <f>$B$12</f>
        <v/>
      </c>
    </row>
    <row r="80">
      <c r="A80" t="n">
        <v>55</v>
      </c>
      <c r="B80" t="inlineStr">
        <is>
          <t>07/31/2030</t>
        </is>
      </c>
      <c r="C80" s="39">
        <f>$B$12</f>
        <v/>
      </c>
      <c r="D80" s="39">
        <f>$B$14</f>
        <v/>
      </c>
      <c r="E80" s="39">
        <f>0</f>
        <v/>
      </c>
      <c r="F80" s="39">
        <f>$B$12</f>
        <v/>
      </c>
    </row>
    <row r="81">
      <c r="A81" t="n">
        <v>56</v>
      </c>
      <c r="B81" t="inlineStr">
        <is>
          <t>08/31/2030</t>
        </is>
      </c>
      <c r="C81" s="39">
        <f>$B$12</f>
        <v/>
      </c>
      <c r="D81" s="39">
        <f>$B$14</f>
        <v/>
      </c>
      <c r="E81" s="39">
        <f>0</f>
        <v/>
      </c>
      <c r="F81" s="39">
        <f>$B$12</f>
        <v/>
      </c>
    </row>
    <row r="82">
      <c r="A82" t="n">
        <v>57</v>
      </c>
      <c r="B82" t="inlineStr">
        <is>
          <t>09/30/2030</t>
        </is>
      </c>
      <c r="C82" s="39">
        <f>$B$12</f>
        <v/>
      </c>
      <c r="D82" s="39">
        <f>$B$14</f>
        <v/>
      </c>
      <c r="E82" s="39">
        <f>0</f>
        <v/>
      </c>
      <c r="F82" s="39">
        <f>$B$12</f>
        <v/>
      </c>
    </row>
    <row r="83">
      <c r="A83" t="n">
        <v>58</v>
      </c>
      <c r="B83" t="inlineStr">
        <is>
          <t>10/31/2030</t>
        </is>
      </c>
      <c r="C83" s="39">
        <f>$B$12</f>
        <v/>
      </c>
      <c r="D83" s="39">
        <f>$B$14</f>
        <v/>
      </c>
      <c r="E83" s="39">
        <f>0</f>
        <v/>
      </c>
      <c r="F83" s="39">
        <f>$B$12</f>
        <v/>
      </c>
    </row>
    <row r="84">
      <c r="A84" t="n">
        <v>59</v>
      </c>
      <c r="B84" t="inlineStr">
        <is>
          <t>11/30/2030</t>
        </is>
      </c>
      <c r="C84" s="39">
        <f>$B$12</f>
        <v/>
      </c>
      <c r="D84" s="39">
        <f>$B$14</f>
        <v/>
      </c>
      <c r="E84" s="39">
        <f>0</f>
        <v/>
      </c>
      <c r="F84" s="39">
        <f>$B$12</f>
        <v/>
      </c>
    </row>
    <row r="85">
      <c r="A85" t="n">
        <v>60</v>
      </c>
      <c r="B85" t="inlineStr">
        <is>
          <t>12/31/2030</t>
        </is>
      </c>
      <c r="C85" s="39">
        <f>$B$12</f>
        <v/>
      </c>
      <c r="D85" s="39">
        <f>$B$14</f>
        <v/>
      </c>
      <c r="E85" s="39">
        <f>0</f>
        <v/>
      </c>
      <c r="F85" s="39">
        <f>$B$12</f>
        <v/>
      </c>
    </row>
    <row r="87">
      <c r="A87" s="79" t="inlineStr">
        <is>
          <t>... Schedule continues indefinitely (NO STATED MATURITY)</t>
        </is>
      </c>
    </row>
    <row r="89">
      <c r="A89" s="2" t="inlineStr">
        <is>
          <t>ANNUAL SUMMARY</t>
        </is>
      </c>
    </row>
    <row r="90">
      <c r="A90" s="66" t="inlineStr">
        <is>
          <t>Year</t>
        </is>
      </c>
      <c r="B90" s="66" t="inlineStr"/>
      <c r="C90" s="66" t="inlineStr">
        <is>
          <t>Ending Balance</t>
        </is>
      </c>
      <c r="D90" s="66" t="inlineStr">
        <is>
          <t>Interest Expense</t>
        </is>
      </c>
      <c r="E90" s="66" t="inlineStr">
        <is>
          <t>Principal Paid</t>
        </is>
      </c>
      <c r="F90" s="66" t="inlineStr"/>
    </row>
    <row r="91">
      <c r="A91" t="n">
        <v>2026</v>
      </c>
      <c r="C91" s="76">
        <f>$B$12</f>
        <v/>
      </c>
      <c r="D91" s="76">
        <f>D26+D27+D28+D29+D30+D31+D32+D33+D34+D35+D36+D37</f>
        <v/>
      </c>
      <c r="E91" s="76">
        <f>0</f>
        <v/>
      </c>
    </row>
    <row r="92">
      <c r="A92" t="n">
        <v>2027</v>
      </c>
      <c r="C92" s="76">
        <f>$B$12</f>
        <v/>
      </c>
      <c r="D92" s="76">
        <f>D38+D39+D40+D41+D42+D43+D44+D45+D46+D47+D48+D49</f>
        <v/>
      </c>
      <c r="E92" s="76">
        <f>0</f>
        <v/>
      </c>
    </row>
    <row r="93">
      <c r="A93" t="n">
        <v>2028</v>
      </c>
      <c r="C93" s="76">
        <f>$B$12</f>
        <v/>
      </c>
      <c r="D93" s="76">
        <f>D50+D51+D52+D53+D54+D55+D56+D57+D58+D59+D60+D61</f>
        <v/>
      </c>
      <c r="E93" s="76">
        <f>0</f>
        <v/>
      </c>
    </row>
    <row r="94">
      <c r="A94" t="n">
        <v>2029</v>
      </c>
      <c r="C94" s="76">
        <f>$B$12</f>
        <v/>
      </c>
      <c r="D94" s="76">
        <f>D62+D63+D64+D65+D66+D67+D68+D69+D70+D71+D72+D73</f>
        <v/>
      </c>
      <c r="E94" s="76">
        <f>0</f>
        <v/>
      </c>
    </row>
    <row r="95">
      <c r="A95" t="n">
        <v>2030</v>
      </c>
      <c r="C95" s="76">
        <f>$B$12</f>
        <v/>
      </c>
      <c r="D95" s="76">
        <f>D74+D75+D76+D77+D78+D79+D80+D81+D82+D83+D84+D85</f>
        <v/>
      </c>
      <c r="E95" s="76">
        <f>0</f>
        <v/>
      </c>
    </row>
    <row r="97">
      <c r="A97" t="inlineStr">
        <is>
          <t>Current Balance</t>
        </is>
      </c>
      <c r="B97" s="77">
        <f>$B$12</f>
        <v/>
      </c>
    </row>
  </sheetData>
  <mergeCells count="12">
    <mergeCell ref="A24:F24"/>
    <mergeCell ref="A16:F16"/>
    <mergeCell ref="A11:F11"/>
    <mergeCell ref="A19:F19"/>
    <mergeCell ref="A1:F1"/>
    <mergeCell ref="A89:F89"/>
    <mergeCell ref="A22:F22"/>
    <mergeCell ref="A17:F17"/>
    <mergeCell ref="A18:F18"/>
    <mergeCell ref="A20:F20"/>
    <mergeCell ref="A21:F21"/>
    <mergeCell ref="A87:F87"/>
  </mergeCells>
  <pageMargins left="0.75" right="0.75" top="1" bottom="1" header="0.5" footer="0.5"/>
  <legacyDrawing xmlns:r="http://schemas.openxmlformats.org/officeDocument/2006/relationships" r:id="anysvml"/>
</worksheet>
</file>

<file path=xl/worksheets/sheet83.xml><?xml version="1.0" encoding="utf-8"?>
<worksheet xmlns="http://schemas.openxmlformats.org/spreadsheetml/2006/main">
  <sheetPr>
    <tabColor rgb="00808080"/>
    <outlinePr summaryBelow="1" summaryRight="1"/>
    <pageSetUpPr/>
  </sheetPr>
  <dimension ref="A1:F97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2" t="inlineStr">
        <is>
          <t>LOAN DETAILS</t>
        </is>
      </c>
    </row>
    <row r="2">
      <c r="A2" t="inlineStr">
        <is>
          <t>Lender</t>
        </is>
      </c>
      <c r="B2" t="inlineStr">
        <is>
          <t>Win Win Loan</t>
        </is>
      </c>
    </row>
    <row r="3">
      <c r="A3" t="inlineStr">
        <is>
          <t>Loan ID</t>
        </is>
      </c>
      <c r="B3" t="inlineStr">
        <is>
          <t>N/A</t>
        </is>
      </c>
    </row>
    <row r="4">
      <c r="A4" t="inlineStr">
        <is>
          <t>Loan Number</t>
        </is>
      </c>
      <c r="B4" t="inlineStr">
        <is>
          <t>All Interest Loan</t>
        </is>
      </c>
    </row>
    <row r="5">
      <c r="A5" t="inlineStr">
        <is>
          <t>Description</t>
        </is>
      </c>
      <c r="B5" t="inlineStr">
        <is>
          <t>Race St — 650 Race St, Rockford IL</t>
        </is>
      </c>
    </row>
    <row r="6">
      <c r="A6" t="inlineStr">
        <is>
          <t>Collateral</t>
        </is>
      </c>
      <c r="B6" t="inlineStr">
        <is>
          <t>Real Estate — Race Street</t>
        </is>
      </c>
    </row>
    <row r="7">
      <c r="A7" t="inlineStr">
        <is>
          <t>Origination Date</t>
        </is>
      </c>
      <c r="B7" t="inlineStr">
        <is>
          <t>08/01/2025</t>
        </is>
      </c>
    </row>
    <row r="8">
      <c r="A8" t="inlineStr">
        <is>
          <t>Maturity Date</t>
        </is>
      </c>
      <c r="B8" t="inlineStr">
        <is>
          <t>N/A (No Stated Maturity)</t>
        </is>
      </c>
    </row>
    <row r="9">
      <c r="A9" t="inlineStr">
        <is>
          <t>Loan Type</t>
        </is>
      </c>
      <c r="B9" t="inlineStr">
        <is>
          <t>INTEREST_ONLY_BALLOON</t>
        </is>
      </c>
    </row>
    <row r="11">
      <c r="A11" s="2" t="inlineStr">
        <is>
          <t>LOAN ASSUMPTIONS</t>
        </is>
      </c>
    </row>
    <row r="12">
      <c r="A12" t="inlineStr">
        <is>
          <t>Principal Balance</t>
        </is>
      </c>
      <c r="B12" s="5" t="n">
        <v>1500000</v>
      </c>
    </row>
    <row r="13">
      <c r="A13" t="inlineStr">
        <is>
          <t>Interest Rate (Annual)</t>
        </is>
      </c>
      <c r="B13" s="6" t="n">
        <v>0.12</v>
      </c>
    </row>
    <row r="14">
      <c r="A14" t="inlineStr">
        <is>
          <t>Monthly Payment (Interest Only)</t>
        </is>
      </c>
      <c r="B14" s="5" t="n">
        <v>15000</v>
      </c>
    </row>
    <row r="16">
      <c r="A16" s="2" t="inlineStr">
        <is>
          <t>AI ANALYSIS</t>
        </is>
      </c>
    </row>
    <row r="17">
      <c r="A17" s="9" t="inlineStr">
        <is>
          <t>Loan Type: Interest-Only Balloon (Real Estate)</t>
        </is>
      </c>
    </row>
    <row r="18">
      <c r="A18" s="9" t="inlineStr">
        <is>
          <t>This is an interest-only real estate loan with NO STATED MATURITY.</t>
        </is>
      </c>
    </row>
    <row r="19">
      <c r="A19" s="9" t="inlineStr">
        <is>
          <t>Monthly payment of $15,000 = interest only (no principal amortization).</t>
        </is>
      </c>
    </row>
    <row r="20">
      <c r="A20" s="9" t="inlineStr">
        <is>
          <t>Implied rate: $15,000 x 12 = $180,000 / $1,500,000 = 12.00%.</t>
        </is>
      </c>
    </row>
    <row r="21">
      <c r="A21" s="9" t="inlineStr">
        <is>
          <t>Principal balance remains at $1,500,000 indefinitely.</t>
        </is>
      </c>
    </row>
    <row r="22">
      <c r="A22" s="9" t="inlineStr">
        <is>
          <t>CAUTION: No maturity date in source docs - balloon due date unknown.</t>
        </is>
      </c>
    </row>
    <row r="24">
      <c r="A24" s="2" t="inlineStr">
        <is>
          <t>INTEREST SCHEDULE</t>
        </is>
      </c>
    </row>
    <row r="25">
      <c r="A25" s="66" t="inlineStr">
        <is>
          <t>Month #</t>
        </is>
      </c>
      <c r="B25" s="66" t="inlineStr">
        <is>
          <t>Date</t>
        </is>
      </c>
      <c r="C25" s="66" t="inlineStr">
        <is>
          <t>Principal Balance</t>
        </is>
      </c>
      <c r="D25" s="66" t="inlineStr">
        <is>
          <t>Interest Expense</t>
        </is>
      </c>
      <c r="E25" s="66" t="inlineStr">
        <is>
          <t>Principal Paid</t>
        </is>
      </c>
      <c r="F25" s="66" t="inlineStr">
        <is>
          <t>Ending Balance</t>
        </is>
      </c>
    </row>
    <row r="26">
      <c r="A26" t="n">
        <v>1</v>
      </c>
      <c r="B26" t="inlineStr">
        <is>
          <t>01/31/2026</t>
        </is>
      </c>
      <c r="C26" s="39">
        <f>$B$12</f>
        <v/>
      </c>
      <c r="D26" s="39">
        <f>$B$14</f>
        <v/>
      </c>
      <c r="E26" s="39">
        <f>0</f>
        <v/>
      </c>
      <c r="F26" s="39">
        <f>$B$12</f>
        <v/>
      </c>
    </row>
    <row r="27">
      <c r="A27" t="n">
        <v>2</v>
      </c>
      <c r="B27" t="inlineStr">
        <is>
          <t>02/28/2026</t>
        </is>
      </c>
      <c r="C27" s="39">
        <f>$B$12</f>
        <v/>
      </c>
      <c r="D27" s="39">
        <f>$B$14</f>
        <v/>
      </c>
      <c r="E27" s="39">
        <f>0</f>
        <v/>
      </c>
      <c r="F27" s="39">
        <f>$B$12</f>
        <v/>
      </c>
    </row>
    <row r="28">
      <c r="A28" t="n">
        <v>3</v>
      </c>
      <c r="B28" t="inlineStr">
        <is>
          <t>03/31/2026</t>
        </is>
      </c>
      <c r="C28" s="39">
        <f>$B$12</f>
        <v/>
      </c>
      <c r="D28" s="39">
        <f>$B$14</f>
        <v/>
      </c>
      <c r="E28" s="39">
        <f>0</f>
        <v/>
      </c>
      <c r="F28" s="39">
        <f>$B$12</f>
        <v/>
      </c>
    </row>
    <row r="29">
      <c r="A29" t="n">
        <v>4</v>
      </c>
      <c r="B29" t="inlineStr">
        <is>
          <t>04/30/2026</t>
        </is>
      </c>
      <c r="C29" s="39">
        <f>$B$12</f>
        <v/>
      </c>
      <c r="D29" s="39">
        <f>$B$14</f>
        <v/>
      </c>
      <c r="E29" s="39">
        <f>0</f>
        <v/>
      </c>
      <c r="F29" s="39">
        <f>$B$12</f>
        <v/>
      </c>
    </row>
    <row r="30">
      <c r="A30" t="n">
        <v>5</v>
      </c>
      <c r="B30" t="inlineStr">
        <is>
          <t>05/31/2026</t>
        </is>
      </c>
      <c r="C30" s="39">
        <f>$B$12</f>
        <v/>
      </c>
      <c r="D30" s="39">
        <f>$B$14</f>
        <v/>
      </c>
      <c r="E30" s="39">
        <f>0</f>
        <v/>
      </c>
      <c r="F30" s="39">
        <f>$B$12</f>
        <v/>
      </c>
    </row>
    <row r="31">
      <c r="A31" t="n">
        <v>6</v>
      </c>
      <c r="B31" t="inlineStr">
        <is>
          <t>06/30/2026</t>
        </is>
      </c>
      <c r="C31" s="39">
        <f>$B$12</f>
        <v/>
      </c>
      <c r="D31" s="39">
        <f>$B$14</f>
        <v/>
      </c>
      <c r="E31" s="39">
        <f>0</f>
        <v/>
      </c>
      <c r="F31" s="39">
        <f>$B$12</f>
        <v/>
      </c>
    </row>
    <row r="32">
      <c r="A32" t="n">
        <v>7</v>
      </c>
      <c r="B32" t="inlineStr">
        <is>
          <t>07/31/2026</t>
        </is>
      </c>
      <c r="C32" s="39">
        <f>$B$12</f>
        <v/>
      </c>
      <c r="D32" s="39">
        <f>$B$14</f>
        <v/>
      </c>
      <c r="E32" s="39">
        <f>0</f>
        <v/>
      </c>
      <c r="F32" s="39">
        <f>$B$12</f>
        <v/>
      </c>
    </row>
    <row r="33">
      <c r="A33" t="n">
        <v>8</v>
      </c>
      <c r="B33" t="inlineStr">
        <is>
          <t>08/31/2026</t>
        </is>
      </c>
      <c r="C33" s="39">
        <f>$B$12</f>
        <v/>
      </c>
      <c r="D33" s="39">
        <f>$B$14</f>
        <v/>
      </c>
      <c r="E33" s="39">
        <f>0</f>
        <v/>
      </c>
      <c r="F33" s="39">
        <f>$B$12</f>
        <v/>
      </c>
    </row>
    <row r="34">
      <c r="A34" t="n">
        <v>9</v>
      </c>
      <c r="B34" t="inlineStr">
        <is>
          <t>09/30/2026</t>
        </is>
      </c>
      <c r="C34" s="39">
        <f>$B$12</f>
        <v/>
      </c>
      <c r="D34" s="39">
        <f>$B$14</f>
        <v/>
      </c>
      <c r="E34" s="39">
        <f>0</f>
        <v/>
      </c>
      <c r="F34" s="39">
        <f>$B$12</f>
        <v/>
      </c>
    </row>
    <row r="35">
      <c r="A35" t="n">
        <v>10</v>
      </c>
      <c r="B35" t="inlineStr">
        <is>
          <t>10/31/2026</t>
        </is>
      </c>
      <c r="C35" s="39">
        <f>$B$12</f>
        <v/>
      </c>
      <c r="D35" s="39">
        <f>$B$14</f>
        <v/>
      </c>
      <c r="E35" s="39">
        <f>0</f>
        <v/>
      </c>
      <c r="F35" s="39">
        <f>$B$12</f>
        <v/>
      </c>
    </row>
    <row r="36">
      <c r="A36" t="n">
        <v>11</v>
      </c>
      <c r="B36" t="inlineStr">
        <is>
          <t>11/30/2026</t>
        </is>
      </c>
      <c r="C36" s="39">
        <f>$B$12</f>
        <v/>
      </c>
      <c r="D36" s="39">
        <f>$B$14</f>
        <v/>
      </c>
      <c r="E36" s="39">
        <f>0</f>
        <v/>
      </c>
      <c r="F36" s="39">
        <f>$B$12</f>
        <v/>
      </c>
    </row>
    <row r="37">
      <c r="A37" t="n">
        <v>12</v>
      </c>
      <c r="B37" t="inlineStr">
        <is>
          <t>12/31/2026</t>
        </is>
      </c>
      <c r="C37" s="39">
        <f>$B$12</f>
        <v/>
      </c>
      <c r="D37" s="39">
        <f>$B$14</f>
        <v/>
      </c>
      <c r="E37" s="39">
        <f>0</f>
        <v/>
      </c>
      <c r="F37" s="39">
        <f>$B$12</f>
        <v/>
      </c>
    </row>
    <row r="38">
      <c r="A38" t="n">
        <v>13</v>
      </c>
      <c r="B38" t="inlineStr">
        <is>
          <t>01/31/2027</t>
        </is>
      </c>
      <c r="C38" s="39">
        <f>$B$12</f>
        <v/>
      </c>
      <c r="D38" s="39">
        <f>$B$14</f>
        <v/>
      </c>
      <c r="E38" s="39">
        <f>0</f>
        <v/>
      </c>
      <c r="F38" s="39">
        <f>$B$12</f>
        <v/>
      </c>
    </row>
    <row r="39">
      <c r="A39" t="n">
        <v>14</v>
      </c>
      <c r="B39" t="inlineStr">
        <is>
          <t>02/28/2027</t>
        </is>
      </c>
      <c r="C39" s="39">
        <f>$B$12</f>
        <v/>
      </c>
      <c r="D39" s="39">
        <f>$B$14</f>
        <v/>
      </c>
      <c r="E39" s="39">
        <f>0</f>
        <v/>
      </c>
      <c r="F39" s="39">
        <f>$B$12</f>
        <v/>
      </c>
    </row>
    <row r="40">
      <c r="A40" t="n">
        <v>15</v>
      </c>
      <c r="B40" t="inlineStr">
        <is>
          <t>03/31/2027</t>
        </is>
      </c>
      <c r="C40" s="39">
        <f>$B$12</f>
        <v/>
      </c>
      <c r="D40" s="39">
        <f>$B$14</f>
        <v/>
      </c>
      <c r="E40" s="39">
        <f>0</f>
        <v/>
      </c>
      <c r="F40" s="39">
        <f>$B$12</f>
        <v/>
      </c>
    </row>
    <row r="41">
      <c r="A41" t="n">
        <v>16</v>
      </c>
      <c r="B41" t="inlineStr">
        <is>
          <t>04/30/2027</t>
        </is>
      </c>
      <c r="C41" s="39">
        <f>$B$12</f>
        <v/>
      </c>
      <c r="D41" s="39">
        <f>$B$14</f>
        <v/>
      </c>
      <c r="E41" s="39">
        <f>0</f>
        <v/>
      </c>
      <c r="F41" s="39">
        <f>$B$12</f>
        <v/>
      </c>
    </row>
    <row r="42">
      <c r="A42" t="n">
        <v>17</v>
      </c>
      <c r="B42" t="inlineStr">
        <is>
          <t>05/31/2027</t>
        </is>
      </c>
      <c r="C42" s="39">
        <f>$B$12</f>
        <v/>
      </c>
      <c r="D42" s="39">
        <f>$B$14</f>
        <v/>
      </c>
      <c r="E42" s="39">
        <f>0</f>
        <v/>
      </c>
      <c r="F42" s="39">
        <f>$B$12</f>
        <v/>
      </c>
    </row>
    <row r="43">
      <c r="A43" t="n">
        <v>18</v>
      </c>
      <c r="B43" t="inlineStr">
        <is>
          <t>06/30/2027</t>
        </is>
      </c>
      <c r="C43" s="39">
        <f>$B$12</f>
        <v/>
      </c>
      <c r="D43" s="39">
        <f>$B$14</f>
        <v/>
      </c>
      <c r="E43" s="39">
        <f>0</f>
        <v/>
      </c>
      <c r="F43" s="39">
        <f>$B$12</f>
        <v/>
      </c>
    </row>
    <row r="44">
      <c r="A44" t="n">
        <v>19</v>
      </c>
      <c r="B44" t="inlineStr">
        <is>
          <t>07/31/2027</t>
        </is>
      </c>
      <c r="C44" s="39">
        <f>$B$12</f>
        <v/>
      </c>
      <c r="D44" s="39">
        <f>$B$14</f>
        <v/>
      </c>
      <c r="E44" s="39">
        <f>0</f>
        <v/>
      </c>
      <c r="F44" s="39">
        <f>$B$12</f>
        <v/>
      </c>
    </row>
    <row r="45">
      <c r="A45" t="n">
        <v>20</v>
      </c>
      <c r="B45" t="inlineStr">
        <is>
          <t>08/31/2027</t>
        </is>
      </c>
      <c r="C45" s="39">
        <f>$B$12</f>
        <v/>
      </c>
      <c r="D45" s="39">
        <f>$B$14</f>
        <v/>
      </c>
      <c r="E45" s="39">
        <f>0</f>
        <v/>
      </c>
      <c r="F45" s="39">
        <f>$B$12</f>
        <v/>
      </c>
    </row>
    <row r="46">
      <c r="A46" t="n">
        <v>21</v>
      </c>
      <c r="B46" t="inlineStr">
        <is>
          <t>09/30/2027</t>
        </is>
      </c>
      <c r="C46" s="39">
        <f>$B$12</f>
        <v/>
      </c>
      <c r="D46" s="39">
        <f>$B$14</f>
        <v/>
      </c>
      <c r="E46" s="39">
        <f>0</f>
        <v/>
      </c>
      <c r="F46" s="39">
        <f>$B$12</f>
        <v/>
      </c>
    </row>
    <row r="47">
      <c r="A47" t="n">
        <v>22</v>
      </c>
      <c r="B47" t="inlineStr">
        <is>
          <t>10/31/2027</t>
        </is>
      </c>
      <c r="C47" s="39">
        <f>$B$12</f>
        <v/>
      </c>
      <c r="D47" s="39">
        <f>$B$14</f>
        <v/>
      </c>
      <c r="E47" s="39">
        <f>0</f>
        <v/>
      </c>
      <c r="F47" s="39">
        <f>$B$12</f>
        <v/>
      </c>
    </row>
    <row r="48">
      <c r="A48" t="n">
        <v>23</v>
      </c>
      <c r="B48" t="inlineStr">
        <is>
          <t>11/30/2027</t>
        </is>
      </c>
      <c r="C48" s="39">
        <f>$B$12</f>
        <v/>
      </c>
      <c r="D48" s="39">
        <f>$B$14</f>
        <v/>
      </c>
      <c r="E48" s="39">
        <f>0</f>
        <v/>
      </c>
      <c r="F48" s="39">
        <f>$B$12</f>
        <v/>
      </c>
    </row>
    <row r="49">
      <c r="A49" t="n">
        <v>24</v>
      </c>
      <c r="B49" t="inlineStr">
        <is>
          <t>12/31/2027</t>
        </is>
      </c>
      <c r="C49" s="39">
        <f>$B$12</f>
        <v/>
      </c>
      <c r="D49" s="39">
        <f>$B$14</f>
        <v/>
      </c>
      <c r="E49" s="39">
        <f>0</f>
        <v/>
      </c>
      <c r="F49" s="39">
        <f>$B$12</f>
        <v/>
      </c>
    </row>
    <row r="50">
      <c r="A50" t="n">
        <v>25</v>
      </c>
      <c r="B50" t="inlineStr">
        <is>
          <t>01/31/2028</t>
        </is>
      </c>
      <c r="C50" s="39">
        <f>$B$12</f>
        <v/>
      </c>
      <c r="D50" s="39">
        <f>$B$14</f>
        <v/>
      </c>
      <c r="E50" s="39">
        <f>0</f>
        <v/>
      </c>
      <c r="F50" s="39">
        <f>$B$12</f>
        <v/>
      </c>
    </row>
    <row r="51">
      <c r="A51" t="n">
        <v>26</v>
      </c>
      <c r="B51" t="inlineStr">
        <is>
          <t>02/29/2028</t>
        </is>
      </c>
      <c r="C51" s="39">
        <f>$B$12</f>
        <v/>
      </c>
      <c r="D51" s="39">
        <f>$B$14</f>
        <v/>
      </c>
      <c r="E51" s="39">
        <f>0</f>
        <v/>
      </c>
      <c r="F51" s="39">
        <f>$B$12</f>
        <v/>
      </c>
    </row>
    <row r="52">
      <c r="A52" t="n">
        <v>27</v>
      </c>
      <c r="B52" t="inlineStr">
        <is>
          <t>03/31/2028</t>
        </is>
      </c>
      <c r="C52" s="39">
        <f>$B$12</f>
        <v/>
      </c>
      <c r="D52" s="39">
        <f>$B$14</f>
        <v/>
      </c>
      <c r="E52" s="39">
        <f>0</f>
        <v/>
      </c>
      <c r="F52" s="39">
        <f>$B$12</f>
        <v/>
      </c>
    </row>
    <row r="53">
      <c r="A53" t="n">
        <v>28</v>
      </c>
      <c r="B53" t="inlineStr">
        <is>
          <t>04/30/2028</t>
        </is>
      </c>
      <c r="C53" s="39">
        <f>$B$12</f>
        <v/>
      </c>
      <c r="D53" s="39">
        <f>$B$14</f>
        <v/>
      </c>
      <c r="E53" s="39">
        <f>0</f>
        <v/>
      </c>
      <c r="F53" s="39">
        <f>$B$12</f>
        <v/>
      </c>
    </row>
    <row r="54">
      <c r="A54" t="n">
        <v>29</v>
      </c>
      <c r="B54" t="inlineStr">
        <is>
          <t>05/31/2028</t>
        </is>
      </c>
      <c r="C54" s="39">
        <f>$B$12</f>
        <v/>
      </c>
      <c r="D54" s="39">
        <f>$B$14</f>
        <v/>
      </c>
      <c r="E54" s="39">
        <f>0</f>
        <v/>
      </c>
      <c r="F54" s="39">
        <f>$B$12</f>
        <v/>
      </c>
    </row>
    <row r="55">
      <c r="A55" t="n">
        <v>30</v>
      </c>
      <c r="B55" t="inlineStr">
        <is>
          <t>06/30/2028</t>
        </is>
      </c>
      <c r="C55" s="39">
        <f>$B$12</f>
        <v/>
      </c>
      <c r="D55" s="39">
        <f>$B$14</f>
        <v/>
      </c>
      <c r="E55" s="39">
        <f>0</f>
        <v/>
      </c>
      <c r="F55" s="39">
        <f>$B$12</f>
        <v/>
      </c>
    </row>
    <row r="56">
      <c r="A56" t="n">
        <v>31</v>
      </c>
      <c r="B56" t="inlineStr">
        <is>
          <t>07/31/2028</t>
        </is>
      </c>
      <c r="C56" s="39">
        <f>$B$12</f>
        <v/>
      </c>
      <c r="D56" s="39">
        <f>$B$14</f>
        <v/>
      </c>
      <c r="E56" s="39">
        <f>0</f>
        <v/>
      </c>
      <c r="F56" s="39">
        <f>$B$12</f>
        <v/>
      </c>
    </row>
    <row r="57">
      <c r="A57" t="n">
        <v>32</v>
      </c>
      <c r="B57" t="inlineStr">
        <is>
          <t>08/31/2028</t>
        </is>
      </c>
      <c r="C57" s="39">
        <f>$B$12</f>
        <v/>
      </c>
      <c r="D57" s="39">
        <f>$B$14</f>
        <v/>
      </c>
      <c r="E57" s="39">
        <f>0</f>
        <v/>
      </c>
      <c r="F57" s="39">
        <f>$B$12</f>
        <v/>
      </c>
    </row>
    <row r="58">
      <c r="A58" t="n">
        <v>33</v>
      </c>
      <c r="B58" t="inlineStr">
        <is>
          <t>09/30/2028</t>
        </is>
      </c>
      <c r="C58" s="39">
        <f>$B$12</f>
        <v/>
      </c>
      <c r="D58" s="39">
        <f>$B$14</f>
        <v/>
      </c>
      <c r="E58" s="39">
        <f>0</f>
        <v/>
      </c>
      <c r="F58" s="39">
        <f>$B$12</f>
        <v/>
      </c>
    </row>
    <row r="59">
      <c r="A59" t="n">
        <v>34</v>
      </c>
      <c r="B59" t="inlineStr">
        <is>
          <t>10/31/2028</t>
        </is>
      </c>
      <c r="C59" s="39">
        <f>$B$12</f>
        <v/>
      </c>
      <c r="D59" s="39">
        <f>$B$14</f>
        <v/>
      </c>
      <c r="E59" s="39">
        <f>0</f>
        <v/>
      </c>
      <c r="F59" s="39">
        <f>$B$12</f>
        <v/>
      </c>
    </row>
    <row r="60">
      <c r="A60" t="n">
        <v>35</v>
      </c>
      <c r="B60" t="inlineStr">
        <is>
          <t>11/30/2028</t>
        </is>
      </c>
      <c r="C60" s="39">
        <f>$B$12</f>
        <v/>
      </c>
      <c r="D60" s="39">
        <f>$B$14</f>
        <v/>
      </c>
      <c r="E60" s="39">
        <f>0</f>
        <v/>
      </c>
      <c r="F60" s="39">
        <f>$B$12</f>
        <v/>
      </c>
    </row>
    <row r="61">
      <c r="A61" t="n">
        <v>36</v>
      </c>
      <c r="B61" t="inlineStr">
        <is>
          <t>12/31/2028</t>
        </is>
      </c>
      <c r="C61" s="39">
        <f>$B$12</f>
        <v/>
      </c>
      <c r="D61" s="39">
        <f>$B$14</f>
        <v/>
      </c>
      <c r="E61" s="39">
        <f>0</f>
        <v/>
      </c>
      <c r="F61" s="39">
        <f>$B$12</f>
        <v/>
      </c>
    </row>
    <row r="62">
      <c r="A62" t="n">
        <v>37</v>
      </c>
      <c r="B62" t="inlineStr">
        <is>
          <t>01/31/2029</t>
        </is>
      </c>
      <c r="C62" s="39">
        <f>$B$12</f>
        <v/>
      </c>
      <c r="D62" s="39">
        <f>$B$14</f>
        <v/>
      </c>
      <c r="E62" s="39">
        <f>0</f>
        <v/>
      </c>
      <c r="F62" s="39">
        <f>$B$12</f>
        <v/>
      </c>
    </row>
    <row r="63">
      <c r="A63" t="n">
        <v>38</v>
      </c>
      <c r="B63" t="inlineStr">
        <is>
          <t>02/28/2029</t>
        </is>
      </c>
      <c r="C63" s="39">
        <f>$B$12</f>
        <v/>
      </c>
      <c r="D63" s="39">
        <f>$B$14</f>
        <v/>
      </c>
      <c r="E63" s="39">
        <f>0</f>
        <v/>
      </c>
      <c r="F63" s="39">
        <f>$B$12</f>
        <v/>
      </c>
    </row>
    <row r="64">
      <c r="A64" t="n">
        <v>39</v>
      </c>
      <c r="B64" t="inlineStr">
        <is>
          <t>03/31/2029</t>
        </is>
      </c>
      <c r="C64" s="39">
        <f>$B$12</f>
        <v/>
      </c>
      <c r="D64" s="39">
        <f>$B$14</f>
        <v/>
      </c>
      <c r="E64" s="39">
        <f>0</f>
        <v/>
      </c>
      <c r="F64" s="39">
        <f>$B$12</f>
        <v/>
      </c>
    </row>
    <row r="65">
      <c r="A65" t="n">
        <v>40</v>
      </c>
      <c r="B65" t="inlineStr">
        <is>
          <t>04/30/2029</t>
        </is>
      </c>
      <c r="C65" s="39">
        <f>$B$12</f>
        <v/>
      </c>
      <c r="D65" s="39">
        <f>$B$14</f>
        <v/>
      </c>
      <c r="E65" s="39">
        <f>0</f>
        <v/>
      </c>
      <c r="F65" s="39">
        <f>$B$12</f>
        <v/>
      </c>
    </row>
    <row r="66">
      <c r="A66" t="n">
        <v>41</v>
      </c>
      <c r="B66" t="inlineStr">
        <is>
          <t>05/31/2029</t>
        </is>
      </c>
      <c r="C66" s="39">
        <f>$B$12</f>
        <v/>
      </c>
      <c r="D66" s="39">
        <f>$B$14</f>
        <v/>
      </c>
      <c r="E66" s="39">
        <f>0</f>
        <v/>
      </c>
      <c r="F66" s="39">
        <f>$B$12</f>
        <v/>
      </c>
    </row>
    <row r="67">
      <c r="A67" t="n">
        <v>42</v>
      </c>
      <c r="B67" t="inlineStr">
        <is>
          <t>06/30/2029</t>
        </is>
      </c>
      <c r="C67" s="39">
        <f>$B$12</f>
        <v/>
      </c>
      <c r="D67" s="39">
        <f>$B$14</f>
        <v/>
      </c>
      <c r="E67" s="39">
        <f>0</f>
        <v/>
      </c>
      <c r="F67" s="39">
        <f>$B$12</f>
        <v/>
      </c>
    </row>
    <row r="68">
      <c r="A68" t="n">
        <v>43</v>
      </c>
      <c r="B68" t="inlineStr">
        <is>
          <t>07/31/2029</t>
        </is>
      </c>
      <c r="C68" s="39">
        <f>$B$12</f>
        <v/>
      </c>
      <c r="D68" s="39">
        <f>$B$14</f>
        <v/>
      </c>
      <c r="E68" s="39">
        <f>0</f>
        <v/>
      </c>
      <c r="F68" s="39">
        <f>$B$12</f>
        <v/>
      </c>
    </row>
    <row r="69">
      <c r="A69" t="n">
        <v>44</v>
      </c>
      <c r="B69" t="inlineStr">
        <is>
          <t>08/31/2029</t>
        </is>
      </c>
      <c r="C69" s="39">
        <f>$B$12</f>
        <v/>
      </c>
      <c r="D69" s="39">
        <f>$B$14</f>
        <v/>
      </c>
      <c r="E69" s="39">
        <f>0</f>
        <v/>
      </c>
      <c r="F69" s="39">
        <f>$B$12</f>
        <v/>
      </c>
    </row>
    <row r="70">
      <c r="A70" t="n">
        <v>45</v>
      </c>
      <c r="B70" t="inlineStr">
        <is>
          <t>09/30/2029</t>
        </is>
      </c>
      <c r="C70" s="39">
        <f>$B$12</f>
        <v/>
      </c>
      <c r="D70" s="39">
        <f>$B$14</f>
        <v/>
      </c>
      <c r="E70" s="39">
        <f>0</f>
        <v/>
      </c>
      <c r="F70" s="39">
        <f>$B$12</f>
        <v/>
      </c>
    </row>
    <row r="71">
      <c r="A71" t="n">
        <v>46</v>
      </c>
      <c r="B71" t="inlineStr">
        <is>
          <t>10/31/2029</t>
        </is>
      </c>
      <c r="C71" s="39">
        <f>$B$12</f>
        <v/>
      </c>
      <c r="D71" s="39">
        <f>$B$14</f>
        <v/>
      </c>
      <c r="E71" s="39">
        <f>0</f>
        <v/>
      </c>
      <c r="F71" s="39">
        <f>$B$12</f>
        <v/>
      </c>
    </row>
    <row r="72">
      <c r="A72" t="n">
        <v>47</v>
      </c>
      <c r="B72" t="inlineStr">
        <is>
          <t>11/30/2029</t>
        </is>
      </c>
      <c r="C72" s="39">
        <f>$B$12</f>
        <v/>
      </c>
      <c r="D72" s="39">
        <f>$B$14</f>
        <v/>
      </c>
      <c r="E72" s="39">
        <f>0</f>
        <v/>
      </c>
      <c r="F72" s="39">
        <f>$B$12</f>
        <v/>
      </c>
    </row>
    <row r="73">
      <c r="A73" t="n">
        <v>48</v>
      </c>
      <c r="B73" t="inlineStr">
        <is>
          <t>12/31/2029</t>
        </is>
      </c>
      <c r="C73" s="39">
        <f>$B$12</f>
        <v/>
      </c>
      <c r="D73" s="39">
        <f>$B$14</f>
        <v/>
      </c>
      <c r="E73" s="39">
        <f>0</f>
        <v/>
      </c>
      <c r="F73" s="39">
        <f>$B$12</f>
        <v/>
      </c>
    </row>
    <row r="74">
      <c r="A74" t="n">
        <v>49</v>
      </c>
      <c r="B74" t="inlineStr">
        <is>
          <t>01/31/2030</t>
        </is>
      </c>
      <c r="C74" s="39">
        <f>$B$12</f>
        <v/>
      </c>
      <c r="D74" s="39">
        <f>$B$14</f>
        <v/>
      </c>
      <c r="E74" s="39">
        <f>0</f>
        <v/>
      </c>
      <c r="F74" s="39">
        <f>$B$12</f>
        <v/>
      </c>
    </row>
    <row r="75">
      <c r="A75" t="n">
        <v>50</v>
      </c>
      <c r="B75" t="inlineStr">
        <is>
          <t>02/28/2030</t>
        </is>
      </c>
      <c r="C75" s="39">
        <f>$B$12</f>
        <v/>
      </c>
      <c r="D75" s="39">
        <f>$B$14</f>
        <v/>
      </c>
      <c r="E75" s="39">
        <f>0</f>
        <v/>
      </c>
      <c r="F75" s="39">
        <f>$B$12</f>
        <v/>
      </c>
    </row>
    <row r="76">
      <c r="A76" t="n">
        <v>51</v>
      </c>
      <c r="B76" t="inlineStr">
        <is>
          <t>03/31/2030</t>
        </is>
      </c>
      <c r="C76" s="39">
        <f>$B$12</f>
        <v/>
      </c>
      <c r="D76" s="39">
        <f>$B$14</f>
        <v/>
      </c>
      <c r="E76" s="39">
        <f>0</f>
        <v/>
      </c>
      <c r="F76" s="39">
        <f>$B$12</f>
        <v/>
      </c>
    </row>
    <row r="77">
      <c r="A77" t="n">
        <v>52</v>
      </c>
      <c r="B77" t="inlineStr">
        <is>
          <t>04/30/2030</t>
        </is>
      </c>
      <c r="C77" s="39">
        <f>$B$12</f>
        <v/>
      </c>
      <c r="D77" s="39">
        <f>$B$14</f>
        <v/>
      </c>
      <c r="E77" s="39">
        <f>0</f>
        <v/>
      </c>
      <c r="F77" s="39">
        <f>$B$12</f>
        <v/>
      </c>
    </row>
    <row r="78">
      <c r="A78" t="n">
        <v>53</v>
      </c>
      <c r="B78" t="inlineStr">
        <is>
          <t>05/31/2030</t>
        </is>
      </c>
      <c r="C78" s="39">
        <f>$B$12</f>
        <v/>
      </c>
      <c r="D78" s="39">
        <f>$B$14</f>
        <v/>
      </c>
      <c r="E78" s="39">
        <f>0</f>
        <v/>
      </c>
      <c r="F78" s="39">
        <f>$B$12</f>
        <v/>
      </c>
    </row>
    <row r="79">
      <c r="A79" t="n">
        <v>54</v>
      </c>
      <c r="B79" t="inlineStr">
        <is>
          <t>06/30/2030</t>
        </is>
      </c>
      <c r="C79" s="39">
        <f>$B$12</f>
        <v/>
      </c>
      <c r="D79" s="39">
        <f>$B$14</f>
        <v/>
      </c>
      <c r="E79" s="39">
        <f>0</f>
        <v/>
      </c>
      <c r="F79" s="39">
        <f>$B$12</f>
        <v/>
      </c>
    </row>
    <row r="80">
      <c r="A80" t="n">
        <v>55</v>
      </c>
      <c r="B80" t="inlineStr">
        <is>
          <t>07/31/2030</t>
        </is>
      </c>
      <c r="C80" s="39">
        <f>$B$12</f>
        <v/>
      </c>
      <c r="D80" s="39">
        <f>$B$14</f>
        <v/>
      </c>
      <c r="E80" s="39">
        <f>0</f>
        <v/>
      </c>
      <c r="F80" s="39">
        <f>$B$12</f>
        <v/>
      </c>
    </row>
    <row r="81">
      <c r="A81" t="n">
        <v>56</v>
      </c>
      <c r="B81" t="inlineStr">
        <is>
          <t>08/31/2030</t>
        </is>
      </c>
      <c r="C81" s="39">
        <f>$B$12</f>
        <v/>
      </c>
      <c r="D81" s="39">
        <f>$B$14</f>
        <v/>
      </c>
      <c r="E81" s="39">
        <f>0</f>
        <v/>
      </c>
      <c r="F81" s="39">
        <f>$B$12</f>
        <v/>
      </c>
    </row>
    <row r="82">
      <c r="A82" t="n">
        <v>57</v>
      </c>
      <c r="B82" t="inlineStr">
        <is>
          <t>09/30/2030</t>
        </is>
      </c>
      <c r="C82" s="39">
        <f>$B$12</f>
        <v/>
      </c>
      <c r="D82" s="39">
        <f>$B$14</f>
        <v/>
      </c>
      <c r="E82" s="39">
        <f>0</f>
        <v/>
      </c>
      <c r="F82" s="39">
        <f>$B$12</f>
        <v/>
      </c>
    </row>
    <row r="83">
      <c r="A83" t="n">
        <v>58</v>
      </c>
      <c r="B83" t="inlineStr">
        <is>
          <t>10/31/2030</t>
        </is>
      </c>
      <c r="C83" s="39">
        <f>$B$12</f>
        <v/>
      </c>
      <c r="D83" s="39">
        <f>$B$14</f>
        <v/>
      </c>
      <c r="E83" s="39">
        <f>0</f>
        <v/>
      </c>
      <c r="F83" s="39">
        <f>$B$12</f>
        <v/>
      </c>
    </row>
    <row r="84">
      <c r="A84" t="n">
        <v>59</v>
      </c>
      <c r="B84" t="inlineStr">
        <is>
          <t>11/30/2030</t>
        </is>
      </c>
      <c r="C84" s="39">
        <f>$B$12</f>
        <v/>
      </c>
      <c r="D84" s="39">
        <f>$B$14</f>
        <v/>
      </c>
      <c r="E84" s="39">
        <f>0</f>
        <v/>
      </c>
      <c r="F84" s="39">
        <f>$B$12</f>
        <v/>
      </c>
    </row>
    <row r="85">
      <c r="A85" t="n">
        <v>60</v>
      </c>
      <c r="B85" t="inlineStr">
        <is>
          <t>12/31/2030</t>
        </is>
      </c>
      <c r="C85" s="39">
        <f>$B$12</f>
        <v/>
      </c>
      <c r="D85" s="39">
        <f>$B$14</f>
        <v/>
      </c>
      <c r="E85" s="39">
        <f>0</f>
        <v/>
      </c>
      <c r="F85" s="39">
        <f>$B$12</f>
        <v/>
      </c>
    </row>
    <row r="87">
      <c r="A87" s="79" t="inlineStr">
        <is>
          <t>... Schedule continues indefinitely (NO STATED MATURITY)</t>
        </is>
      </c>
    </row>
    <row r="89">
      <c r="A89" s="2" t="inlineStr">
        <is>
          <t>ANNUAL SUMMARY</t>
        </is>
      </c>
    </row>
    <row r="90">
      <c r="A90" s="66" t="inlineStr">
        <is>
          <t>Year</t>
        </is>
      </c>
      <c r="B90" s="66" t="inlineStr"/>
      <c r="C90" s="66" t="inlineStr">
        <is>
          <t>Ending Balance</t>
        </is>
      </c>
      <c r="D90" s="66" t="inlineStr">
        <is>
          <t>Interest Expense</t>
        </is>
      </c>
      <c r="E90" s="66" t="inlineStr">
        <is>
          <t>Principal Paid</t>
        </is>
      </c>
      <c r="F90" s="66" t="inlineStr"/>
    </row>
    <row r="91">
      <c r="A91" t="n">
        <v>2026</v>
      </c>
      <c r="C91" s="76">
        <f>$B$12</f>
        <v/>
      </c>
      <c r="D91" s="76">
        <f>D26+D27+D28+D29+D30+D31+D32+D33+D34+D35+D36+D37</f>
        <v/>
      </c>
      <c r="E91" s="76">
        <f>0</f>
        <v/>
      </c>
    </row>
    <row r="92">
      <c r="A92" t="n">
        <v>2027</v>
      </c>
      <c r="C92" s="76">
        <f>$B$12</f>
        <v/>
      </c>
      <c r="D92" s="76">
        <f>D38+D39+D40+D41+D42+D43+D44+D45+D46+D47+D48+D49</f>
        <v/>
      </c>
      <c r="E92" s="76">
        <f>0</f>
        <v/>
      </c>
    </row>
    <row r="93">
      <c r="A93" t="n">
        <v>2028</v>
      </c>
      <c r="C93" s="76">
        <f>$B$12</f>
        <v/>
      </c>
      <c r="D93" s="76">
        <f>D50+D51+D52+D53+D54+D55+D56+D57+D58+D59+D60+D61</f>
        <v/>
      </c>
      <c r="E93" s="76">
        <f>0</f>
        <v/>
      </c>
    </row>
    <row r="94">
      <c r="A94" t="n">
        <v>2029</v>
      </c>
      <c r="C94" s="76">
        <f>$B$12</f>
        <v/>
      </c>
      <c r="D94" s="76">
        <f>D62+D63+D64+D65+D66+D67+D68+D69+D70+D71+D72+D73</f>
        <v/>
      </c>
      <c r="E94" s="76">
        <f>0</f>
        <v/>
      </c>
    </row>
    <row r="95">
      <c r="A95" t="n">
        <v>2030</v>
      </c>
      <c r="C95" s="76">
        <f>$B$12</f>
        <v/>
      </c>
      <c r="D95" s="76">
        <f>D74+D75+D76+D77+D78+D79+D80+D81+D82+D83+D84+D85</f>
        <v/>
      </c>
      <c r="E95" s="76">
        <f>0</f>
        <v/>
      </c>
    </row>
    <row r="97">
      <c r="A97" t="inlineStr">
        <is>
          <t>Current Balance</t>
        </is>
      </c>
      <c r="B97" s="77">
        <f>$B$12</f>
        <v/>
      </c>
    </row>
  </sheetData>
  <mergeCells count="12">
    <mergeCell ref="A24:F24"/>
    <mergeCell ref="A16:F16"/>
    <mergeCell ref="A11:F11"/>
    <mergeCell ref="A19:F19"/>
    <mergeCell ref="A1:F1"/>
    <mergeCell ref="A89:F89"/>
    <mergeCell ref="A22:F22"/>
    <mergeCell ref="A17:F17"/>
    <mergeCell ref="A18:F18"/>
    <mergeCell ref="A20:F20"/>
    <mergeCell ref="A21:F21"/>
    <mergeCell ref="A87:F87"/>
  </mergeCells>
  <pageMargins left="0.75" right="0.75" top="1" bottom="1" header="0.5" footer="0.5"/>
  <legacyDrawing xmlns:r="http://schemas.openxmlformats.org/officeDocument/2006/relationships" r:id="anysvml"/>
</worksheet>
</file>

<file path=xl/worksheets/sheet84.xml><?xml version="1.0" encoding="utf-8"?>
<worksheet xmlns="http://schemas.openxmlformats.org/spreadsheetml/2006/main">
  <sheetPr>
    <tabColor rgb="00808080"/>
    <outlinePr summaryBelow="1" summaryRight="1"/>
    <pageSetUpPr/>
  </sheetPr>
  <dimension ref="A1:F82"/>
  <sheetViews>
    <sheetView workbookViewId="0">
      <selection activeCell="A1" sqref="A1"/>
    </sheetView>
  </sheetViews>
  <sheetFormatPr baseColWidth="8" defaultRowHeight="15"/>
  <cols>
    <col width="18" customWidth="1" min="1" max="1"/>
    <col width="20" customWidth="1" min="2" max="2"/>
    <col width="16" customWidth="1" min="3" max="3"/>
    <col width="14" customWidth="1" min="4" max="4"/>
    <col width="14" customWidth="1" min="5" max="5"/>
    <col width="16" customWidth="1" min="6" max="6"/>
  </cols>
  <sheetData>
    <row r="1">
      <c r="A1" s="2" t="inlineStr">
        <is>
          <t>LOAN DETAILS</t>
        </is>
      </c>
    </row>
    <row r="2">
      <c r="A2" s="1" t="inlineStr">
        <is>
          <t>Lender:</t>
        </is>
      </c>
      <c r="B2" s="4" t="inlineStr">
        <is>
          <t>Mercedes</t>
        </is>
      </c>
    </row>
    <row r="3">
      <c r="A3" s="1" t="inlineStr">
        <is>
          <t>Description:</t>
        </is>
      </c>
      <c r="B3" s="4" t="inlineStr">
        <is>
          <t>Mercedes</t>
        </is>
      </c>
    </row>
    <row r="4">
      <c r="A4" s="1" t="inlineStr">
        <is>
          <t>Loan ID:</t>
        </is>
      </c>
      <c r="B4" s="4" t="inlineStr">
        <is>
          <t>05-2991-000-000-00</t>
        </is>
      </c>
    </row>
    <row r="5">
      <c r="A5" s="1" t="inlineStr">
        <is>
          <t>Original Balance:</t>
        </is>
      </c>
      <c r="B5" s="26" t="n">
        <v>99690</v>
      </c>
    </row>
    <row r="6">
      <c r="A6" s="1" t="inlineStr">
        <is>
          <t>Current Balance:</t>
        </is>
      </c>
      <c r="B6" s="26" t="n">
        <v>96677</v>
      </c>
    </row>
    <row r="7">
      <c r="A7" s="1" t="inlineStr">
        <is>
          <t>Annual Rate:</t>
        </is>
      </c>
      <c r="B7" s="6" t="n">
        <v>0.0399</v>
      </c>
    </row>
    <row r="8">
      <c r="A8" s="1" t="inlineStr">
        <is>
          <t>Monthly Payment:</t>
        </is>
      </c>
      <c r="B8" s="26" t="n">
        <v>1839</v>
      </c>
    </row>
    <row r="9">
      <c r="A9" s="1" t="inlineStr">
        <is>
          <t>Maturity Date:</t>
        </is>
      </c>
      <c r="B9" s="52" t="n">
        <v>47759</v>
      </c>
    </row>
    <row r="10">
      <c r="A10" s="1" t="inlineStr">
        <is>
          <t>Loan Type:</t>
        </is>
      </c>
      <c r="B10" s="4" t="inlineStr">
        <is>
          <t>AMORTIZING</t>
        </is>
      </c>
    </row>
    <row r="12">
      <c r="A12" s="8" t="inlineStr">
        <is>
          <t>AI ANALYSIS</t>
        </is>
      </c>
    </row>
    <row r="13">
      <c r="A13" s="1" t="inlineStr">
        <is>
          <t>Classification:</t>
        </is>
      </c>
      <c r="B13" s="9" t="inlineStr">
        <is>
          <t>Standard amortizing equipment loan - Equipment - Semi Trucks</t>
        </is>
      </c>
    </row>
    <row r="14">
      <c r="A14" s="1" t="inlineStr">
        <is>
          <t>Amortization:</t>
        </is>
      </c>
      <c r="B14" s="9" t="inlineStr">
        <is>
          <t>~58 months remaining from 12/31/2025 to maturity</t>
        </is>
      </c>
    </row>
    <row r="15">
      <c r="A15" s="1" t="inlineStr">
        <is>
          <t>Source Doc:</t>
        </is>
      </c>
      <c r="B15" s="9" t="inlineStr">
        <is>
          <t>Meiborg_Debt_Schedule_202512.xlsx</t>
        </is>
      </c>
    </row>
    <row r="17">
      <c r="A17" s="10" t="inlineStr">
        <is>
          <t>Month #</t>
        </is>
      </c>
      <c r="B17" s="10" t="inlineStr">
        <is>
          <t>Date</t>
        </is>
      </c>
      <c r="C17" s="10" t="inlineStr">
        <is>
          <t>Opening Balance</t>
        </is>
      </c>
      <c r="D17" s="10" t="inlineStr">
        <is>
          <t>Interest</t>
        </is>
      </c>
      <c r="E17" s="10" t="inlineStr">
        <is>
          <t>Principal</t>
        </is>
      </c>
      <c r="F17" s="10" t="inlineStr">
        <is>
          <t>Closing Balance</t>
        </is>
      </c>
    </row>
    <row r="18">
      <c r="A18" s="21" t="n">
        <v>1</v>
      </c>
      <c r="B18" s="33" t="n">
        <v>46023</v>
      </c>
      <c r="C18" s="13">
        <f>$B$6</f>
        <v/>
      </c>
      <c r="D18" s="13">
        <f>MAX(0,C18*$B$7/12)</f>
        <v/>
      </c>
      <c r="E18" s="13">
        <f>MAX(0,MIN(C18,$B$8-D18))</f>
        <v/>
      </c>
      <c r="F18" s="13">
        <f>MAX(0,C18-E18)</f>
        <v/>
      </c>
    </row>
    <row r="19">
      <c r="A19" s="21" t="n">
        <v>2</v>
      </c>
      <c r="B19" s="33" t="n">
        <v>46054</v>
      </c>
      <c r="C19" s="13">
        <f>F18</f>
        <v/>
      </c>
      <c r="D19" s="13">
        <f>MAX(0,C19*$B$7/12)</f>
        <v/>
      </c>
      <c r="E19" s="13">
        <f>MAX(0,MIN(C19,$B$8-D19))</f>
        <v/>
      </c>
      <c r="F19" s="13">
        <f>MAX(0,C19-E19)</f>
        <v/>
      </c>
    </row>
    <row r="20">
      <c r="A20" s="21" t="n">
        <v>3</v>
      </c>
      <c r="B20" s="33" t="n">
        <v>46082</v>
      </c>
      <c r="C20" s="13">
        <f>F19</f>
        <v/>
      </c>
      <c r="D20" s="13">
        <f>MAX(0,C20*$B$7/12)</f>
        <v/>
      </c>
      <c r="E20" s="13">
        <f>MAX(0,MIN(C20,$B$8-D20))</f>
        <v/>
      </c>
      <c r="F20" s="13">
        <f>MAX(0,C20-E20)</f>
        <v/>
      </c>
    </row>
    <row r="21">
      <c r="A21" s="21" t="n">
        <v>4</v>
      </c>
      <c r="B21" s="33" t="n">
        <v>46113</v>
      </c>
      <c r="C21" s="13">
        <f>F20</f>
        <v/>
      </c>
      <c r="D21" s="13">
        <f>MAX(0,C21*$B$7/12)</f>
        <v/>
      </c>
      <c r="E21" s="13">
        <f>MAX(0,MIN(C21,$B$8-D21))</f>
        <v/>
      </c>
      <c r="F21" s="13">
        <f>MAX(0,C21-E21)</f>
        <v/>
      </c>
    </row>
    <row r="22">
      <c r="A22" s="21" t="n">
        <v>5</v>
      </c>
      <c r="B22" s="33" t="n">
        <v>46143</v>
      </c>
      <c r="C22" s="13">
        <f>F21</f>
        <v/>
      </c>
      <c r="D22" s="13">
        <f>MAX(0,C22*$B$7/12)</f>
        <v/>
      </c>
      <c r="E22" s="13">
        <f>MAX(0,MIN(C22,$B$8-D22))</f>
        <v/>
      </c>
      <c r="F22" s="13">
        <f>MAX(0,C22-E22)</f>
        <v/>
      </c>
    </row>
    <row r="23">
      <c r="A23" s="21" t="n">
        <v>6</v>
      </c>
      <c r="B23" s="33" t="n">
        <v>46174</v>
      </c>
      <c r="C23" s="13">
        <f>F22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21" t="n">
        <v>7</v>
      </c>
      <c r="B24" s="33" t="n">
        <v>46204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21" t="n">
        <v>8</v>
      </c>
      <c r="B25" s="33" t="n">
        <v>46235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21" t="n">
        <v>9</v>
      </c>
      <c r="B26" s="33" t="n">
        <v>46266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21" t="n">
        <v>10</v>
      </c>
      <c r="B27" s="33" t="n">
        <v>46296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21" t="n">
        <v>11</v>
      </c>
      <c r="B28" s="33" t="n">
        <v>46327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21" t="n">
        <v>12</v>
      </c>
      <c r="B29" s="33" t="n">
        <v>46357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21" t="n">
        <v>13</v>
      </c>
      <c r="B30" s="33" t="n">
        <v>46388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21" t="n">
        <v>14</v>
      </c>
      <c r="B31" s="33" t="n">
        <v>46419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21" t="n">
        <v>15</v>
      </c>
      <c r="B32" s="33" t="n">
        <v>46447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21" t="n">
        <v>16</v>
      </c>
      <c r="B33" s="33" t="n">
        <v>46478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4">
      <c r="A34" s="21" t="n">
        <v>17</v>
      </c>
      <c r="B34" s="33" t="n">
        <v>46508</v>
      </c>
      <c r="C34" s="13">
        <f>F33</f>
        <v/>
      </c>
      <c r="D34" s="13">
        <f>MAX(0,C34*$B$7/12)</f>
        <v/>
      </c>
      <c r="E34" s="13">
        <f>MAX(0,MIN(C34,$B$8-D34))</f>
        <v/>
      </c>
      <c r="F34" s="13">
        <f>MAX(0,C34-E34)</f>
        <v/>
      </c>
    </row>
    <row r="35">
      <c r="A35" s="21" t="n">
        <v>18</v>
      </c>
      <c r="B35" s="33" t="n">
        <v>46539</v>
      </c>
      <c r="C35" s="13">
        <f>F34</f>
        <v/>
      </c>
      <c r="D35" s="13">
        <f>MAX(0,C35*$B$7/12)</f>
        <v/>
      </c>
      <c r="E35" s="13">
        <f>MAX(0,MIN(C35,$B$8-D35))</f>
        <v/>
      </c>
      <c r="F35" s="13">
        <f>MAX(0,C35-E35)</f>
        <v/>
      </c>
    </row>
    <row r="36">
      <c r="A36" s="21" t="n">
        <v>19</v>
      </c>
      <c r="B36" s="33" t="n">
        <v>46569</v>
      </c>
      <c r="C36" s="13">
        <f>F35</f>
        <v/>
      </c>
      <c r="D36" s="13">
        <f>MAX(0,C36*$B$7/12)</f>
        <v/>
      </c>
      <c r="E36" s="13">
        <f>MAX(0,MIN(C36,$B$8-D36))</f>
        <v/>
      </c>
      <c r="F36" s="13">
        <f>MAX(0,C36-E36)</f>
        <v/>
      </c>
    </row>
    <row r="37">
      <c r="A37" s="21" t="n">
        <v>20</v>
      </c>
      <c r="B37" s="33" t="n">
        <v>46600</v>
      </c>
      <c r="C37" s="13">
        <f>F36</f>
        <v/>
      </c>
      <c r="D37" s="13">
        <f>MAX(0,C37*$B$7/12)</f>
        <v/>
      </c>
      <c r="E37" s="13">
        <f>MAX(0,MIN(C37,$B$8-D37))</f>
        <v/>
      </c>
      <c r="F37" s="13">
        <f>MAX(0,C37-E37)</f>
        <v/>
      </c>
    </row>
    <row r="38">
      <c r="A38" s="21" t="n">
        <v>21</v>
      </c>
      <c r="B38" s="33" t="n">
        <v>46631</v>
      </c>
      <c r="C38" s="13">
        <f>F37</f>
        <v/>
      </c>
      <c r="D38" s="13">
        <f>MAX(0,C38*$B$7/12)</f>
        <v/>
      </c>
      <c r="E38" s="13">
        <f>MAX(0,MIN(C38,$B$8-D38))</f>
        <v/>
      </c>
      <c r="F38" s="13">
        <f>MAX(0,C38-E38)</f>
        <v/>
      </c>
    </row>
    <row r="39">
      <c r="A39" s="21" t="n">
        <v>22</v>
      </c>
      <c r="B39" s="33" t="n">
        <v>46661</v>
      </c>
      <c r="C39" s="13">
        <f>F38</f>
        <v/>
      </c>
      <c r="D39" s="13">
        <f>MAX(0,C39*$B$7/12)</f>
        <v/>
      </c>
      <c r="E39" s="13">
        <f>MAX(0,MIN(C39,$B$8-D39))</f>
        <v/>
      </c>
      <c r="F39" s="13">
        <f>MAX(0,C39-E39)</f>
        <v/>
      </c>
    </row>
    <row r="40">
      <c r="A40" s="21" t="n">
        <v>23</v>
      </c>
      <c r="B40" s="33" t="n">
        <v>46692</v>
      </c>
      <c r="C40" s="13">
        <f>F39</f>
        <v/>
      </c>
      <c r="D40" s="13">
        <f>MAX(0,C40*$B$7/12)</f>
        <v/>
      </c>
      <c r="E40" s="13">
        <f>MAX(0,MIN(C40,$B$8-D40))</f>
        <v/>
      </c>
      <c r="F40" s="13">
        <f>MAX(0,C40-E40)</f>
        <v/>
      </c>
    </row>
    <row r="41">
      <c r="A41" s="21" t="n">
        <v>24</v>
      </c>
      <c r="B41" s="33" t="n">
        <v>46722</v>
      </c>
      <c r="C41" s="13">
        <f>F40</f>
        <v/>
      </c>
      <c r="D41" s="13">
        <f>MAX(0,C41*$B$7/12)</f>
        <v/>
      </c>
      <c r="E41" s="13">
        <f>MAX(0,MIN(C41,$B$8-D41))</f>
        <v/>
      </c>
      <c r="F41" s="13">
        <f>MAX(0,C41-E41)</f>
        <v/>
      </c>
    </row>
    <row r="42">
      <c r="A42" s="21" t="n">
        <v>25</v>
      </c>
      <c r="B42" s="33" t="n">
        <v>46753</v>
      </c>
      <c r="C42" s="13">
        <f>F41</f>
        <v/>
      </c>
      <c r="D42" s="13">
        <f>MAX(0,C42*$B$7/12)</f>
        <v/>
      </c>
      <c r="E42" s="13">
        <f>MAX(0,MIN(C42,$B$8-D42))</f>
        <v/>
      </c>
      <c r="F42" s="13">
        <f>MAX(0,C42-E42)</f>
        <v/>
      </c>
    </row>
    <row r="43">
      <c r="A43" s="21" t="n">
        <v>26</v>
      </c>
      <c r="B43" s="33" t="n">
        <v>46784</v>
      </c>
      <c r="C43" s="13">
        <f>F42</f>
        <v/>
      </c>
      <c r="D43" s="13">
        <f>MAX(0,C43*$B$7/12)</f>
        <v/>
      </c>
      <c r="E43" s="13">
        <f>MAX(0,MIN(C43,$B$8-D43))</f>
        <v/>
      </c>
      <c r="F43" s="13">
        <f>MAX(0,C43-E43)</f>
        <v/>
      </c>
    </row>
    <row r="44">
      <c r="A44" s="21" t="n">
        <v>27</v>
      </c>
      <c r="B44" s="33" t="n">
        <v>46813</v>
      </c>
      <c r="C44" s="13">
        <f>F43</f>
        <v/>
      </c>
      <c r="D44" s="13">
        <f>MAX(0,C44*$B$7/12)</f>
        <v/>
      </c>
      <c r="E44" s="13">
        <f>MAX(0,MIN(C44,$B$8-D44))</f>
        <v/>
      </c>
      <c r="F44" s="13">
        <f>MAX(0,C44-E44)</f>
        <v/>
      </c>
    </row>
    <row r="45">
      <c r="A45" s="21" t="n">
        <v>28</v>
      </c>
      <c r="B45" s="33" t="n">
        <v>46844</v>
      </c>
      <c r="C45" s="13">
        <f>F44</f>
        <v/>
      </c>
      <c r="D45" s="13">
        <f>MAX(0,C45*$B$7/12)</f>
        <v/>
      </c>
      <c r="E45" s="13">
        <f>MAX(0,MIN(C45,$B$8-D45))</f>
        <v/>
      </c>
      <c r="F45" s="13">
        <f>MAX(0,C45-E45)</f>
        <v/>
      </c>
    </row>
    <row r="46">
      <c r="A46" s="21" t="n">
        <v>29</v>
      </c>
      <c r="B46" s="33" t="n">
        <v>46874</v>
      </c>
      <c r="C46" s="13">
        <f>F45</f>
        <v/>
      </c>
      <c r="D46" s="13">
        <f>MAX(0,C46*$B$7/12)</f>
        <v/>
      </c>
      <c r="E46" s="13">
        <f>MAX(0,MIN(C46,$B$8-D46))</f>
        <v/>
      </c>
      <c r="F46" s="13">
        <f>MAX(0,C46-E46)</f>
        <v/>
      </c>
    </row>
    <row r="47">
      <c r="A47" s="21" t="n">
        <v>30</v>
      </c>
      <c r="B47" s="33" t="n">
        <v>46905</v>
      </c>
      <c r="C47" s="13">
        <f>F46</f>
        <v/>
      </c>
      <c r="D47" s="13">
        <f>MAX(0,C47*$B$7/12)</f>
        <v/>
      </c>
      <c r="E47" s="13">
        <f>MAX(0,MIN(C47,$B$8-D47))</f>
        <v/>
      </c>
      <c r="F47" s="13">
        <f>MAX(0,C47-E47)</f>
        <v/>
      </c>
    </row>
    <row r="48">
      <c r="A48" s="21" t="n">
        <v>31</v>
      </c>
      <c r="B48" s="33" t="n">
        <v>46935</v>
      </c>
      <c r="C48" s="13">
        <f>F47</f>
        <v/>
      </c>
      <c r="D48" s="13">
        <f>MAX(0,C48*$B$7/12)</f>
        <v/>
      </c>
      <c r="E48" s="13">
        <f>MAX(0,MIN(C48,$B$8-D48))</f>
        <v/>
      </c>
      <c r="F48" s="13">
        <f>MAX(0,C48-E48)</f>
        <v/>
      </c>
    </row>
    <row r="49">
      <c r="A49" s="21" t="n">
        <v>32</v>
      </c>
      <c r="B49" s="33" t="n">
        <v>46966</v>
      </c>
      <c r="C49" s="13">
        <f>F48</f>
        <v/>
      </c>
      <c r="D49" s="13">
        <f>MAX(0,C49*$B$7/12)</f>
        <v/>
      </c>
      <c r="E49" s="13">
        <f>MAX(0,MIN(C49,$B$8-D49))</f>
        <v/>
      </c>
      <c r="F49" s="13">
        <f>MAX(0,C49-E49)</f>
        <v/>
      </c>
    </row>
    <row r="50">
      <c r="A50" s="21" t="n">
        <v>33</v>
      </c>
      <c r="B50" s="33" t="n">
        <v>46997</v>
      </c>
      <c r="C50" s="13">
        <f>F49</f>
        <v/>
      </c>
      <c r="D50" s="13">
        <f>MAX(0,C50*$B$7/12)</f>
        <v/>
      </c>
      <c r="E50" s="13">
        <f>MAX(0,MIN(C50,$B$8-D50))</f>
        <v/>
      </c>
      <c r="F50" s="13">
        <f>MAX(0,C50-E50)</f>
        <v/>
      </c>
    </row>
    <row r="51">
      <c r="A51" s="21" t="n">
        <v>34</v>
      </c>
      <c r="B51" s="33" t="n">
        <v>47027</v>
      </c>
      <c r="C51" s="13">
        <f>F50</f>
        <v/>
      </c>
      <c r="D51" s="13">
        <f>MAX(0,C51*$B$7/12)</f>
        <v/>
      </c>
      <c r="E51" s="13">
        <f>MAX(0,MIN(C51,$B$8-D51))</f>
        <v/>
      </c>
      <c r="F51" s="13">
        <f>MAX(0,C51-E51)</f>
        <v/>
      </c>
    </row>
    <row r="52">
      <c r="A52" s="21" t="n">
        <v>35</v>
      </c>
      <c r="B52" s="33" t="n">
        <v>47058</v>
      </c>
      <c r="C52" s="13">
        <f>F51</f>
        <v/>
      </c>
      <c r="D52" s="13">
        <f>MAX(0,C52*$B$7/12)</f>
        <v/>
      </c>
      <c r="E52" s="13">
        <f>MAX(0,MIN(C52,$B$8-D52))</f>
        <v/>
      </c>
      <c r="F52" s="13">
        <f>MAX(0,C52-E52)</f>
        <v/>
      </c>
    </row>
    <row r="53">
      <c r="A53" s="21" t="n">
        <v>36</v>
      </c>
      <c r="B53" s="33" t="n">
        <v>47088</v>
      </c>
      <c r="C53" s="13">
        <f>F52</f>
        <v/>
      </c>
      <c r="D53" s="13">
        <f>MAX(0,C53*$B$7/12)</f>
        <v/>
      </c>
      <c r="E53" s="13">
        <f>MAX(0,MIN(C53,$B$8-D53))</f>
        <v/>
      </c>
      <c r="F53" s="13">
        <f>MAX(0,C53-E53)</f>
        <v/>
      </c>
    </row>
    <row r="54">
      <c r="A54" s="21" t="n">
        <v>37</v>
      </c>
      <c r="B54" s="33" t="n">
        <v>47119</v>
      </c>
      <c r="C54" s="13">
        <f>F53</f>
        <v/>
      </c>
      <c r="D54" s="13">
        <f>MAX(0,C54*$B$7/12)</f>
        <v/>
      </c>
      <c r="E54" s="13">
        <f>MAX(0,MIN(C54,$B$8-D54))</f>
        <v/>
      </c>
      <c r="F54" s="13">
        <f>MAX(0,C54-E54)</f>
        <v/>
      </c>
    </row>
    <row r="55">
      <c r="A55" s="21" t="n">
        <v>38</v>
      </c>
      <c r="B55" s="33" t="n">
        <v>47150</v>
      </c>
      <c r="C55" s="13">
        <f>F54</f>
        <v/>
      </c>
      <c r="D55" s="13">
        <f>MAX(0,C55*$B$7/12)</f>
        <v/>
      </c>
      <c r="E55" s="13">
        <f>MAX(0,MIN(C55,$B$8-D55))</f>
        <v/>
      </c>
      <c r="F55" s="13">
        <f>MAX(0,C55-E55)</f>
        <v/>
      </c>
    </row>
    <row r="56">
      <c r="A56" s="21" t="n">
        <v>39</v>
      </c>
      <c r="B56" s="33" t="n">
        <v>47178</v>
      </c>
      <c r="C56" s="13">
        <f>F55</f>
        <v/>
      </c>
      <c r="D56" s="13">
        <f>MAX(0,C56*$B$7/12)</f>
        <v/>
      </c>
      <c r="E56" s="13">
        <f>MAX(0,MIN(C56,$B$8-D56))</f>
        <v/>
      </c>
      <c r="F56" s="13">
        <f>MAX(0,C56-E56)</f>
        <v/>
      </c>
    </row>
    <row r="57">
      <c r="A57" s="21" t="n">
        <v>40</v>
      </c>
      <c r="B57" s="33" t="n">
        <v>47209</v>
      </c>
      <c r="C57" s="13">
        <f>F56</f>
        <v/>
      </c>
      <c r="D57" s="13">
        <f>MAX(0,C57*$B$7/12)</f>
        <v/>
      </c>
      <c r="E57" s="13">
        <f>MAX(0,MIN(C57,$B$8-D57))</f>
        <v/>
      </c>
      <c r="F57" s="13">
        <f>MAX(0,C57-E57)</f>
        <v/>
      </c>
    </row>
    <row r="58">
      <c r="A58" s="21" t="n">
        <v>41</v>
      </c>
      <c r="B58" s="33" t="n">
        <v>47239</v>
      </c>
      <c r="C58" s="13">
        <f>F57</f>
        <v/>
      </c>
      <c r="D58" s="13">
        <f>MAX(0,C58*$B$7/12)</f>
        <v/>
      </c>
      <c r="E58" s="13">
        <f>MAX(0,MIN(C58,$B$8-D58))</f>
        <v/>
      </c>
      <c r="F58" s="13">
        <f>MAX(0,C58-E58)</f>
        <v/>
      </c>
    </row>
    <row r="59">
      <c r="A59" s="21" t="n">
        <v>42</v>
      </c>
      <c r="B59" s="33" t="n">
        <v>47270</v>
      </c>
      <c r="C59" s="13">
        <f>F58</f>
        <v/>
      </c>
      <c r="D59" s="13">
        <f>MAX(0,C59*$B$7/12)</f>
        <v/>
      </c>
      <c r="E59" s="13">
        <f>MAX(0,MIN(C59,$B$8-D59))</f>
        <v/>
      </c>
      <c r="F59" s="13">
        <f>MAX(0,C59-E59)</f>
        <v/>
      </c>
    </row>
    <row r="60">
      <c r="A60" s="21" t="n">
        <v>43</v>
      </c>
      <c r="B60" s="33" t="n">
        <v>47300</v>
      </c>
      <c r="C60" s="13">
        <f>F59</f>
        <v/>
      </c>
      <c r="D60" s="13">
        <f>MAX(0,C60*$B$7/12)</f>
        <v/>
      </c>
      <c r="E60" s="13">
        <f>MAX(0,MIN(C60,$B$8-D60))</f>
        <v/>
      </c>
      <c r="F60" s="13">
        <f>MAX(0,C60-E60)</f>
        <v/>
      </c>
    </row>
    <row r="61">
      <c r="A61" s="21" t="n">
        <v>44</v>
      </c>
      <c r="B61" s="33" t="n">
        <v>47331</v>
      </c>
      <c r="C61" s="13">
        <f>F60</f>
        <v/>
      </c>
      <c r="D61" s="13">
        <f>MAX(0,C61*$B$7/12)</f>
        <v/>
      </c>
      <c r="E61" s="13">
        <f>MAX(0,MIN(C61,$B$8-D61))</f>
        <v/>
      </c>
      <c r="F61" s="13">
        <f>MAX(0,C61-E61)</f>
        <v/>
      </c>
    </row>
    <row r="62">
      <c r="A62" s="21" t="n">
        <v>45</v>
      </c>
      <c r="B62" s="33" t="n">
        <v>47362</v>
      </c>
      <c r="C62" s="13">
        <f>F61</f>
        <v/>
      </c>
      <c r="D62" s="13">
        <f>MAX(0,C62*$B$7/12)</f>
        <v/>
      </c>
      <c r="E62" s="13">
        <f>MAX(0,MIN(C62,$B$8-D62))</f>
        <v/>
      </c>
      <c r="F62" s="13">
        <f>MAX(0,C62-E62)</f>
        <v/>
      </c>
    </row>
    <row r="63">
      <c r="A63" s="21" t="n">
        <v>46</v>
      </c>
      <c r="B63" s="33" t="n">
        <v>47392</v>
      </c>
      <c r="C63" s="13">
        <f>F62</f>
        <v/>
      </c>
      <c r="D63" s="13">
        <f>MAX(0,C63*$B$7/12)</f>
        <v/>
      </c>
      <c r="E63" s="13">
        <f>MAX(0,MIN(C63,$B$8-D63))</f>
        <v/>
      </c>
      <c r="F63" s="13">
        <f>MAX(0,C63-E63)</f>
        <v/>
      </c>
    </row>
    <row r="64">
      <c r="A64" s="21" t="n">
        <v>47</v>
      </c>
      <c r="B64" s="33" t="n">
        <v>47423</v>
      </c>
      <c r="C64" s="13">
        <f>F63</f>
        <v/>
      </c>
      <c r="D64" s="13">
        <f>MAX(0,C64*$B$7/12)</f>
        <v/>
      </c>
      <c r="E64" s="13">
        <f>MAX(0,MIN(C64,$B$8-D64))</f>
        <v/>
      </c>
      <c r="F64" s="13">
        <f>MAX(0,C64-E64)</f>
        <v/>
      </c>
    </row>
    <row r="65">
      <c r="A65" s="21" t="n">
        <v>48</v>
      </c>
      <c r="B65" s="33" t="n">
        <v>47453</v>
      </c>
      <c r="C65" s="13">
        <f>F64</f>
        <v/>
      </c>
      <c r="D65" s="13">
        <f>MAX(0,C65*$B$7/12)</f>
        <v/>
      </c>
      <c r="E65" s="13">
        <f>MAX(0,MIN(C65,$B$8-D65))</f>
        <v/>
      </c>
      <c r="F65" s="13">
        <f>MAX(0,C65-E65)</f>
        <v/>
      </c>
    </row>
    <row r="66">
      <c r="A66" s="21" t="n">
        <v>49</v>
      </c>
      <c r="B66" s="33" t="n">
        <v>47484</v>
      </c>
      <c r="C66" s="13">
        <f>F65</f>
        <v/>
      </c>
      <c r="D66" s="13">
        <f>MAX(0,C66*$B$7/12)</f>
        <v/>
      </c>
      <c r="E66" s="13">
        <f>MAX(0,MIN(C66,$B$8-D66))</f>
        <v/>
      </c>
      <c r="F66" s="13">
        <f>MAX(0,C66-E66)</f>
        <v/>
      </c>
    </row>
    <row r="67">
      <c r="A67" s="21" t="n">
        <v>50</v>
      </c>
      <c r="B67" s="33" t="n">
        <v>47515</v>
      </c>
      <c r="C67" s="13">
        <f>F66</f>
        <v/>
      </c>
      <c r="D67" s="13">
        <f>MAX(0,C67*$B$7/12)</f>
        <v/>
      </c>
      <c r="E67" s="13">
        <f>MAX(0,MIN(C67,$B$8-D67))</f>
        <v/>
      </c>
      <c r="F67" s="13">
        <f>MAX(0,C67-E67)</f>
        <v/>
      </c>
    </row>
    <row r="68">
      <c r="A68" s="21" t="n">
        <v>51</v>
      </c>
      <c r="B68" s="33" t="n">
        <v>47543</v>
      </c>
      <c r="C68" s="13">
        <f>F67</f>
        <v/>
      </c>
      <c r="D68" s="13">
        <f>MAX(0,C68*$B$7/12)</f>
        <v/>
      </c>
      <c r="E68" s="13">
        <f>MAX(0,MIN(C68,$B$8-D68))</f>
        <v/>
      </c>
      <c r="F68" s="13">
        <f>MAX(0,C68-E68)</f>
        <v/>
      </c>
    </row>
    <row r="69">
      <c r="A69" s="21" t="n">
        <v>52</v>
      </c>
      <c r="B69" s="33" t="n">
        <v>47574</v>
      </c>
      <c r="C69" s="13">
        <f>F68</f>
        <v/>
      </c>
      <c r="D69" s="13">
        <f>MAX(0,C69*$B$7/12)</f>
        <v/>
      </c>
      <c r="E69" s="13">
        <f>MAX(0,MIN(C69,$B$8-D69))</f>
        <v/>
      </c>
      <c r="F69" s="13">
        <f>MAX(0,C69-E69)</f>
        <v/>
      </c>
    </row>
    <row r="70">
      <c r="A70" s="21" t="n">
        <v>53</v>
      </c>
      <c r="B70" s="33" t="n">
        <v>47604</v>
      </c>
      <c r="C70" s="13">
        <f>F69</f>
        <v/>
      </c>
      <c r="D70" s="13">
        <f>MAX(0,C70*$B$7/12)</f>
        <v/>
      </c>
      <c r="E70" s="13">
        <f>MAX(0,MIN(C70,$B$8-D70))</f>
        <v/>
      </c>
      <c r="F70" s="13">
        <f>MAX(0,C70-E70)</f>
        <v/>
      </c>
    </row>
    <row r="71">
      <c r="A71" s="21" t="n">
        <v>54</v>
      </c>
      <c r="B71" s="33" t="n">
        <v>47635</v>
      </c>
      <c r="C71" s="13">
        <f>F70</f>
        <v/>
      </c>
      <c r="D71" s="13">
        <f>MAX(0,C71*$B$7/12)</f>
        <v/>
      </c>
      <c r="E71" s="13">
        <f>MAX(0,MIN(C71,$B$8-D71))</f>
        <v/>
      </c>
      <c r="F71" s="13">
        <f>MAX(0,C71-E71)</f>
        <v/>
      </c>
    </row>
    <row r="72">
      <c r="A72" s="21" t="n">
        <v>55</v>
      </c>
      <c r="B72" s="33" t="n">
        <v>47665</v>
      </c>
      <c r="C72" s="13">
        <f>F71</f>
        <v/>
      </c>
      <c r="D72" s="13">
        <f>MAX(0,C72*$B$7/12)</f>
        <v/>
      </c>
      <c r="E72" s="13">
        <f>MAX(0,MIN(C72,$B$8-D72))</f>
        <v/>
      </c>
      <c r="F72" s="13">
        <f>MAX(0,C72-E72)</f>
        <v/>
      </c>
    </row>
    <row r="73">
      <c r="A73" s="21" t="n">
        <v>56</v>
      </c>
      <c r="B73" s="33" t="n">
        <v>47696</v>
      </c>
      <c r="C73" s="13">
        <f>F72</f>
        <v/>
      </c>
      <c r="D73" s="13">
        <f>MAX(0,C73*$B$7/12)</f>
        <v/>
      </c>
      <c r="E73" s="13">
        <f>MAX(0,MIN(C73,$B$8-D73))</f>
        <v/>
      </c>
      <c r="F73" s="13">
        <f>MAX(0,C73-E73)</f>
        <v/>
      </c>
    </row>
    <row r="74">
      <c r="A74" s="21" t="n">
        <v>57</v>
      </c>
      <c r="B74" s="33" t="n">
        <v>47727</v>
      </c>
      <c r="C74" s="13">
        <f>F73</f>
        <v/>
      </c>
      <c r="D74" s="13">
        <f>MAX(0,C74*$B$7/12)</f>
        <v/>
      </c>
      <c r="E74" s="13">
        <f>MAX(0,MIN(C74,$B$8-D74))</f>
        <v/>
      </c>
      <c r="F74" s="13">
        <f>MAX(0,C74-E74)</f>
        <v/>
      </c>
    </row>
    <row r="75">
      <c r="A75" s="21" t="n">
        <v>58</v>
      </c>
      <c r="B75" s="33" t="n">
        <v>47757</v>
      </c>
      <c r="C75" s="13">
        <f>F74</f>
        <v/>
      </c>
      <c r="D75" s="13">
        <f>MAX(0,C75*$B$7/12)</f>
        <v/>
      </c>
      <c r="E75" s="13">
        <f>MAX(0,MIN(C75,$B$8-D75))</f>
        <v/>
      </c>
      <c r="F75" s="13">
        <f>MAX(0,C75-E75)</f>
        <v/>
      </c>
    </row>
    <row r="76">
      <c r="A76" s="21" t="n">
        <v>59</v>
      </c>
      <c r="B76" s="33" t="n">
        <v>47788</v>
      </c>
      <c r="C76" s="13">
        <f>F75</f>
        <v/>
      </c>
      <c r="D76" s="13">
        <f>MAX(0,C76*$B$7/12)</f>
        <v/>
      </c>
      <c r="E76" s="13">
        <f>MAX(0,MIN(C76,$B$8-D76))</f>
        <v/>
      </c>
      <c r="F76" s="13">
        <f>MAX(0,C76-E76)</f>
        <v/>
      </c>
    </row>
    <row r="78">
      <c r="A78" s="2" t="inlineStr">
        <is>
          <t>ANNUAL SUMMARY</t>
        </is>
      </c>
    </row>
    <row r="79">
      <c r="A79" s="30" t="inlineStr">
        <is>
          <t>Year</t>
        </is>
      </c>
      <c r="B79" s="30" t="inlineStr"/>
      <c r="C79" s="30" t="inlineStr">
        <is>
          <t>Opening</t>
        </is>
      </c>
      <c r="D79" s="30" t="inlineStr">
        <is>
          <t>Interest</t>
        </is>
      </c>
      <c r="E79" s="30" t="inlineStr">
        <is>
          <t>Principal</t>
        </is>
      </c>
      <c r="F79" s="30" t="inlineStr">
        <is>
          <t>Closing</t>
        </is>
      </c>
    </row>
    <row r="80">
      <c r="A80" s="80" t="n">
        <v>2026</v>
      </c>
      <c r="B80" s="80" t="inlineStr"/>
      <c r="C80" s="81">
        <f>C18</f>
        <v/>
      </c>
      <c r="D80" s="81">
        <f>SUM(D18:D29)</f>
        <v/>
      </c>
      <c r="E80" s="81">
        <f>SUM(E18:E29)</f>
        <v/>
      </c>
      <c r="F80" s="81">
        <f>F29</f>
        <v/>
      </c>
    </row>
    <row r="81">
      <c r="A81" s="80" t="n">
        <v>2027</v>
      </c>
      <c r="B81" s="80" t="inlineStr"/>
      <c r="C81" s="81">
        <f>C30</f>
        <v/>
      </c>
      <c r="D81" s="81">
        <f>SUM(D30:D41)</f>
        <v/>
      </c>
      <c r="E81" s="81">
        <f>SUM(E30:E41)</f>
        <v/>
      </c>
      <c r="F81" s="81">
        <f>F41</f>
        <v/>
      </c>
    </row>
    <row r="82">
      <c r="A82" s="80" t="n">
        <v>2028</v>
      </c>
      <c r="B82" s="80" t="inlineStr"/>
      <c r="C82" s="81">
        <f>C42</f>
        <v/>
      </c>
      <c r="D82" s="81">
        <f>SUM(D42:D53)</f>
        <v/>
      </c>
      <c r="E82" s="81">
        <f>SUM(E42:E53)</f>
        <v/>
      </c>
      <c r="F82" s="81">
        <f>F53</f>
        <v/>
      </c>
    </row>
  </sheetData>
  <mergeCells count="3">
    <mergeCell ref="A78:F78"/>
    <mergeCell ref="A1:F1"/>
    <mergeCell ref="A12:F12"/>
  </mergeCells>
  <pageMargins left="0.75" right="0.75" top="1" bottom="1" header="0.5" footer="0.5"/>
  <legacyDrawing xmlns:r="http://schemas.openxmlformats.org/officeDocument/2006/relationships" r:id="anysvml"/>
</worksheet>
</file>

<file path=xl/worksheets/sheet85.xml><?xml version="1.0" encoding="utf-8"?>
<worksheet xmlns="http://schemas.openxmlformats.org/spreadsheetml/2006/main">
  <sheetPr>
    <tabColor rgb="00808080"/>
    <outlinePr summaryBelow="1" summaryRight="1"/>
    <pageSetUpPr/>
  </sheetPr>
  <dimension ref="A1:F94"/>
  <sheetViews>
    <sheetView workbookViewId="0">
      <selection activeCell="A1" sqref="A1"/>
    </sheetView>
  </sheetViews>
  <sheetFormatPr baseColWidth="8" defaultRowHeight="15"/>
  <cols>
    <col width="18" customWidth="1" min="1" max="1"/>
    <col width="20" customWidth="1" min="2" max="2"/>
    <col width="16" customWidth="1" min="3" max="3"/>
    <col width="14" customWidth="1" min="4" max="4"/>
    <col width="14" customWidth="1" min="5" max="5"/>
    <col width="16" customWidth="1" min="6" max="6"/>
  </cols>
  <sheetData>
    <row r="1">
      <c r="A1" s="2" t="inlineStr">
        <is>
          <t>LOAN DETAILS</t>
        </is>
      </c>
    </row>
    <row r="2">
      <c r="A2" s="1" t="inlineStr">
        <is>
          <t>Lender:</t>
        </is>
      </c>
      <c r="B2" s="4" t="inlineStr">
        <is>
          <t>GM Financial</t>
        </is>
      </c>
    </row>
    <row r="3">
      <c r="A3" s="1" t="inlineStr">
        <is>
          <t>Description:</t>
        </is>
      </c>
      <c r="B3" s="4" t="inlineStr">
        <is>
          <t>2020 GMC Sierra 3500HD</t>
        </is>
      </c>
    </row>
    <row r="4">
      <c r="A4" s="1" t="inlineStr">
        <is>
          <t>Loan ID:</t>
        </is>
      </c>
      <c r="B4" s="4" t="inlineStr">
        <is>
          <t>01-2983-000-000-00</t>
        </is>
      </c>
    </row>
    <row r="5">
      <c r="A5" s="1" t="inlineStr">
        <is>
          <t>Original Balance:</t>
        </is>
      </c>
      <c r="B5" s="26" t="n">
        <v>100423.71</v>
      </c>
    </row>
    <row r="6">
      <c r="A6" s="1" t="inlineStr">
        <is>
          <t>Current Balance:</t>
        </is>
      </c>
      <c r="B6" s="26" t="n">
        <v>98295</v>
      </c>
    </row>
    <row r="7">
      <c r="A7" s="1" t="inlineStr">
        <is>
          <t>Annual Rate:</t>
        </is>
      </c>
      <c r="B7" s="6" t="n">
        <v>0.089</v>
      </c>
    </row>
    <row r="8">
      <c r="A8" s="1" t="inlineStr">
        <is>
          <t>Monthly Payment:</t>
        </is>
      </c>
      <c r="B8" s="26" t="n">
        <v>1848</v>
      </c>
    </row>
    <row r="9">
      <c r="A9" s="1" t="inlineStr">
        <is>
          <t>Maturity Date:</t>
        </is>
      </c>
      <c r="B9" s="52" t="n">
        <v>48128</v>
      </c>
    </row>
    <row r="10">
      <c r="A10" s="1" t="inlineStr">
        <is>
          <t>Loan Type:</t>
        </is>
      </c>
      <c r="B10" s="4" t="inlineStr">
        <is>
          <t>AMORTIZING</t>
        </is>
      </c>
    </row>
    <row r="12">
      <c r="A12" s="8" t="inlineStr">
        <is>
          <t>AI ANALYSIS</t>
        </is>
      </c>
    </row>
    <row r="13">
      <c r="A13" s="1" t="inlineStr">
        <is>
          <t>Classification:</t>
        </is>
      </c>
      <c r="B13" s="9" t="inlineStr">
        <is>
          <t>Standard amortizing equipment loan - Vehicle</t>
        </is>
      </c>
    </row>
    <row r="14">
      <c r="A14" s="1" t="inlineStr">
        <is>
          <t>Amortization:</t>
        </is>
      </c>
      <c r="B14" s="9" t="inlineStr">
        <is>
          <t>~70 months remaining from 12/31/2025 to maturity</t>
        </is>
      </c>
    </row>
    <row r="15">
      <c r="A15" s="1" t="inlineStr">
        <is>
          <t>Source Doc:</t>
        </is>
      </c>
      <c r="B15" s="9" t="inlineStr">
        <is>
          <t>Meiborg_Debt_Schedule_202512.xlsx</t>
        </is>
      </c>
    </row>
    <row r="17">
      <c r="A17" s="10" t="inlineStr">
        <is>
          <t>Month #</t>
        </is>
      </c>
      <c r="B17" s="10" t="inlineStr">
        <is>
          <t>Date</t>
        </is>
      </c>
      <c r="C17" s="10" t="inlineStr">
        <is>
          <t>Opening Balance</t>
        </is>
      </c>
      <c r="D17" s="10" t="inlineStr">
        <is>
          <t>Interest</t>
        </is>
      </c>
      <c r="E17" s="10" t="inlineStr">
        <is>
          <t>Principal</t>
        </is>
      </c>
      <c r="F17" s="10" t="inlineStr">
        <is>
          <t>Closing Balance</t>
        </is>
      </c>
    </row>
    <row r="18">
      <c r="A18" s="21" t="n">
        <v>1</v>
      </c>
      <c r="B18" s="33" t="n">
        <v>46023</v>
      </c>
      <c r="C18" s="13">
        <f>$B$6</f>
        <v/>
      </c>
      <c r="D18" s="13">
        <f>MAX(0,C18*$B$7/12)</f>
        <v/>
      </c>
      <c r="E18" s="13">
        <f>MAX(0,MIN(C18,$B$8-D18))</f>
        <v/>
      </c>
      <c r="F18" s="13">
        <f>MAX(0,C18-E18)</f>
        <v/>
      </c>
    </row>
    <row r="19">
      <c r="A19" s="21" t="n">
        <v>2</v>
      </c>
      <c r="B19" s="33" t="n">
        <v>46054</v>
      </c>
      <c r="C19" s="13">
        <f>F18</f>
        <v/>
      </c>
      <c r="D19" s="13">
        <f>MAX(0,C19*$B$7/12)</f>
        <v/>
      </c>
      <c r="E19" s="13">
        <f>MAX(0,MIN(C19,$B$8-D19))</f>
        <v/>
      </c>
      <c r="F19" s="13">
        <f>MAX(0,C19-E19)</f>
        <v/>
      </c>
    </row>
    <row r="20">
      <c r="A20" s="21" t="n">
        <v>3</v>
      </c>
      <c r="B20" s="33" t="n">
        <v>46082</v>
      </c>
      <c r="C20" s="13">
        <f>F19</f>
        <v/>
      </c>
      <c r="D20" s="13">
        <f>MAX(0,C20*$B$7/12)</f>
        <v/>
      </c>
      <c r="E20" s="13">
        <f>MAX(0,MIN(C20,$B$8-D20))</f>
        <v/>
      </c>
      <c r="F20" s="13">
        <f>MAX(0,C20-E20)</f>
        <v/>
      </c>
    </row>
    <row r="21">
      <c r="A21" s="21" t="n">
        <v>4</v>
      </c>
      <c r="B21" s="33" t="n">
        <v>46113</v>
      </c>
      <c r="C21" s="13">
        <f>F20</f>
        <v/>
      </c>
      <c r="D21" s="13">
        <f>MAX(0,C21*$B$7/12)</f>
        <v/>
      </c>
      <c r="E21" s="13">
        <f>MAX(0,MIN(C21,$B$8-D21))</f>
        <v/>
      </c>
      <c r="F21" s="13">
        <f>MAX(0,C21-E21)</f>
        <v/>
      </c>
    </row>
    <row r="22">
      <c r="A22" s="21" t="n">
        <v>5</v>
      </c>
      <c r="B22" s="33" t="n">
        <v>46143</v>
      </c>
      <c r="C22" s="13">
        <f>F21</f>
        <v/>
      </c>
      <c r="D22" s="13">
        <f>MAX(0,C22*$B$7/12)</f>
        <v/>
      </c>
      <c r="E22" s="13">
        <f>MAX(0,MIN(C22,$B$8-D22))</f>
        <v/>
      </c>
      <c r="F22" s="13">
        <f>MAX(0,C22-E22)</f>
        <v/>
      </c>
    </row>
    <row r="23">
      <c r="A23" s="21" t="n">
        <v>6</v>
      </c>
      <c r="B23" s="33" t="n">
        <v>46174</v>
      </c>
      <c r="C23" s="13">
        <f>F22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21" t="n">
        <v>7</v>
      </c>
      <c r="B24" s="33" t="n">
        <v>46204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21" t="n">
        <v>8</v>
      </c>
      <c r="B25" s="33" t="n">
        <v>46235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21" t="n">
        <v>9</v>
      </c>
      <c r="B26" s="33" t="n">
        <v>46266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21" t="n">
        <v>10</v>
      </c>
      <c r="B27" s="33" t="n">
        <v>46296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21" t="n">
        <v>11</v>
      </c>
      <c r="B28" s="33" t="n">
        <v>46327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21" t="n">
        <v>12</v>
      </c>
      <c r="B29" s="33" t="n">
        <v>46357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21" t="n">
        <v>13</v>
      </c>
      <c r="B30" s="33" t="n">
        <v>46388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21" t="n">
        <v>14</v>
      </c>
      <c r="B31" s="33" t="n">
        <v>46419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21" t="n">
        <v>15</v>
      </c>
      <c r="B32" s="33" t="n">
        <v>46447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21" t="n">
        <v>16</v>
      </c>
      <c r="B33" s="33" t="n">
        <v>46478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4">
      <c r="A34" s="21" t="n">
        <v>17</v>
      </c>
      <c r="B34" s="33" t="n">
        <v>46508</v>
      </c>
      <c r="C34" s="13">
        <f>F33</f>
        <v/>
      </c>
      <c r="D34" s="13">
        <f>MAX(0,C34*$B$7/12)</f>
        <v/>
      </c>
      <c r="E34" s="13">
        <f>MAX(0,MIN(C34,$B$8-D34))</f>
        <v/>
      </c>
      <c r="F34" s="13">
        <f>MAX(0,C34-E34)</f>
        <v/>
      </c>
    </row>
    <row r="35">
      <c r="A35" s="21" t="n">
        <v>18</v>
      </c>
      <c r="B35" s="33" t="n">
        <v>46539</v>
      </c>
      <c r="C35" s="13">
        <f>F34</f>
        <v/>
      </c>
      <c r="D35" s="13">
        <f>MAX(0,C35*$B$7/12)</f>
        <v/>
      </c>
      <c r="E35" s="13">
        <f>MAX(0,MIN(C35,$B$8-D35))</f>
        <v/>
      </c>
      <c r="F35" s="13">
        <f>MAX(0,C35-E35)</f>
        <v/>
      </c>
    </row>
    <row r="36">
      <c r="A36" s="21" t="n">
        <v>19</v>
      </c>
      <c r="B36" s="33" t="n">
        <v>46569</v>
      </c>
      <c r="C36" s="13">
        <f>F35</f>
        <v/>
      </c>
      <c r="D36" s="13">
        <f>MAX(0,C36*$B$7/12)</f>
        <v/>
      </c>
      <c r="E36" s="13">
        <f>MAX(0,MIN(C36,$B$8-D36))</f>
        <v/>
      </c>
      <c r="F36" s="13">
        <f>MAX(0,C36-E36)</f>
        <v/>
      </c>
    </row>
    <row r="37">
      <c r="A37" s="21" t="n">
        <v>20</v>
      </c>
      <c r="B37" s="33" t="n">
        <v>46600</v>
      </c>
      <c r="C37" s="13">
        <f>F36</f>
        <v/>
      </c>
      <c r="D37" s="13">
        <f>MAX(0,C37*$B$7/12)</f>
        <v/>
      </c>
      <c r="E37" s="13">
        <f>MAX(0,MIN(C37,$B$8-D37))</f>
        <v/>
      </c>
      <c r="F37" s="13">
        <f>MAX(0,C37-E37)</f>
        <v/>
      </c>
    </row>
    <row r="38">
      <c r="A38" s="21" t="n">
        <v>21</v>
      </c>
      <c r="B38" s="33" t="n">
        <v>46631</v>
      </c>
      <c r="C38" s="13">
        <f>F37</f>
        <v/>
      </c>
      <c r="D38" s="13">
        <f>MAX(0,C38*$B$7/12)</f>
        <v/>
      </c>
      <c r="E38" s="13">
        <f>MAX(0,MIN(C38,$B$8-D38))</f>
        <v/>
      </c>
      <c r="F38" s="13">
        <f>MAX(0,C38-E38)</f>
        <v/>
      </c>
    </row>
    <row r="39">
      <c r="A39" s="21" t="n">
        <v>22</v>
      </c>
      <c r="B39" s="33" t="n">
        <v>46661</v>
      </c>
      <c r="C39" s="13">
        <f>F38</f>
        <v/>
      </c>
      <c r="D39" s="13">
        <f>MAX(0,C39*$B$7/12)</f>
        <v/>
      </c>
      <c r="E39" s="13">
        <f>MAX(0,MIN(C39,$B$8-D39))</f>
        <v/>
      </c>
      <c r="F39" s="13">
        <f>MAX(0,C39-E39)</f>
        <v/>
      </c>
    </row>
    <row r="40">
      <c r="A40" s="21" t="n">
        <v>23</v>
      </c>
      <c r="B40" s="33" t="n">
        <v>46692</v>
      </c>
      <c r="C40" s="13">
        <f>F39</f>
        <v/>
      </c>
      <c r="D40" s="13">
        <f>MAX(0,C40*$B$7/12)</f>
        <v/>
      </c>
      <c r="E40" s="13">
        <f>MAX(0,MIN(C40,$B$8-D40))</f>
        <v/>
      </c>
      <c r="F40" s="13">
        <f>MAX(0,C40-E40)</f>
        <v/>
      </c>
    </row>
    <row r="41">
      <c r="A41" s="21" t="n">
        <v>24</v>
      </c>
      <c r="B41" s="33" t="n">
        <v>46722</v>
      </c>
      <c r="C41" s="13">
        <f>F40</f>
        <v/>
      </c>
      <c r="D41" s="13">
        <f>MAX(0,C41*$B$7/12)</f>
        <v/>
      </c>
      <c r="E41" s="13">
        <f>MAX(0,MIN(C41,$B$8-D41))</f>
        <v/>
      </c>
      <c r="F41" s="13">
        <f>MAX(0,C41-E41)</f>
        <v/>
      </c>
    </row>
    <row r="42">
      <c r="A42" s="21" t="n">
        <v>25</v>
      </c>
      <c r="B42" s="33" t="n">
        <v>46753</v>
      </c>
      <c r="C42" s="13">
        <f>F41</f>
        <v/>
      </c>
      <c r="D42" s="13">
        <f>MAX(0,C42*$B$7/12)</f>
        <v/>
      </c>
      <c r="E42" s="13">
        <f>MAX(0,MIN(C42,$B$8-D42))</f>
        <v/>
      </c>
      <c r="F42" s="13">
        <f>MAX(0,C42-E42)</f>
        <v/>
      </c>
    </row>
    <row r="43">
      <c r="A43" s="21" t="n">
        <v>26</v>
      </c>
      <c r="B43" s="33" t="n">
        <v>46784</v>
      </c>
      <c r="C43" s="13">
        <f>F42</f>
        <v/>
      </c>
      <c r="D43" s="13">
        <f>MAX(0,C43*$B$7/12)</f>
        <v/>
      </c>
      <c r="E43" s="13">
        <f>MAX(0,MIN(C43,$B$8-D43))</f>
        <v/>
      </c>
      <c r="F43" s="13">
        <f>MAX(0,C43-E43)</f>
        <v/>
      </c>
    </row>
    <row r="44">
      <c r="A44" s="21" t="n">
        <v>27</v>
      </c>
      <c r="B44" s="33" t="n">
        <v>46813</v>
      </c>
      <c r="C44" s="13">
        <f>F43</f>
        <v/>
      </c>
      <c r="D44" s="13">
        <f>MAX(0,C44*$B$7/12)</f>
        <v/>
      </c>
      <c r="E44" s="13">
        <f>MAX(0,MIN(C44,$B$8-D44))</f>
        <v/>
      </c>
      <c r="F44" s="13">
        <f>MAX(0,C44-E44)</f>
        <v/>
      </c>
    </row>
    <row r="45">
      <c r="A45" s="21" t="n">
        <v>28</v>
      </c>
      <c r="B45" s="33" t="n">
        <v>46844</v>
      </c>
      <c r="C45" s="13">
        <f>F44</f>
        <v/>
      </c>
      <c r="D45" s="13">
        <f>MAX(0,C45*$B$7/12)</f>
        <v/>
      </c>
      <c r="E45" s="13">
        <f>MAX(0,MIN(C45,$B$8-D45))</f>
        <v/>
      </c>
      <c r="F45" s="13">
        <f>MAX(0,C45-E45)</f>
        <v/>
      </c>
    </row>
    <row r="46">
      <c r="A46" s="21" t="n">
        <v>29</v>
      </c>
      <c r="B46" s="33" t="n">
        <v>46874</v>
      </c>
      <c r="C46" s="13">
        <f>F45</f>
        <v/>
      </c>
      <c r="D46" s="13">
        <f>MAX(0,C46*$B$7/12)</f>
        <v/>
      </c>
      <c r="E46" s="13">
        <f>MAX(0,MIN(C46,$B$8-D46))</f>
        <v/>
      </c>
      <c r="F46" s="13">
        <f>MAX(0,C46-E46)</f>
        <v/>
      </c>
    </row>
    <row r="47">
      <c r="A47" s="21" t="n">
        <v>30</v>
      </c>
      <c r="B47" s="33" t="n">
        <v>46905</v>
      </c>
      <c r="C47" s="13">
        <f>F46</f>
        <v/>
      </c>
      <c r="D47" s="13">
        <f>MAX(0,C47*$B$7/12)</f>
        <v/>
      </c>
      <c r="E47" s="13">
        <f>MAX(0,MIN(C47,$B$8-D47))</f>
        <v/>
      </c>
      <c r="F47" s="13">
        <f>MAX(0,C47-E47)</f>
        <v/>
      </c>
    </row>
    <row r="48">
      <c r="A48" s="21" t="n">
        <v>31</v>
      </c>
      <c r="B48" s="33" t="n">
        <v>46935</v>
      </c>
      <c r="C48" s="13">
        <f>F47</f>
        <v/>
      </c>
      <c r="D48" s="13">
        <f>MAX(0,C48*$B$7/12)</f>
        <v/>
      </c>
      <c r="E48" s="13">
        <f>MAX(0,MIN(C48,$B$8-D48))</f>
        <v/>
      </c>
      <c r="F48" s="13">
        <f>MAX(0,C48-E48)</f>
        <v/>
      </c>
    </row>
    <row r="49">
      <c r="A49" s="21" t="n">
        <v>32</v>
      </c>
      <c r="B49" s="33" t="n">
        <v>46966</v>
      </c>
      <c r="C49" s="13">
        <f>F48</f>
        <v/>
      </c>
      <c r="D49" s="13">
        <f>MAX(0,C49*$B$7/12)</f>
        <v/>
      </c>
      <c r="E49" s="13">
        <f>MAX(0,MIN(C49,$B$8-D49))</f>
        <v/>
      </c>
      <c r="F49" s="13">
        <f>MAX(0,C49-E49)</f>
        <v/>
      </c>
    </row>
    <row r="50">
      <c r="A50" s="21" t="n">
        <v>33</v>
      </c>
      <c r="B50" s="33" t="n">
        <v>46997</v>
      </c>
      <c r="C50" s="13">
        <f>F49</f>
        <v/>
      </c>
      <c r="D50" s="13">
        <f>MAX(0,C50*$B$7/12)</f>
        <v/>
      </c>
      <c r="E50" s="13">
        <f>MAX(0,MIN(C50,$B$8-D50))</f>
        <v/>
      </c>
      <c r="F50" s="13">
        <f>MAX(0,C50-E50)</f>
        <v/>
      </c>
    </row>
    <row r="51">
      <c r="A51" s="21" t="n">
        <v>34</v>
      </c>
      <c r="B51" s="33" t="n">
        <v>47027</v>
      </c>
      <c r="C51" s="13">
        <f>F50</f>
        <v/>
      </c>
      <c r="D51" s="13">
        <f>MAX(0,C51*$B$7/12)</f>
        <v/>
      </c>
      <c r="E51" s="13">
        <f>MAX(0,MIN(C51,$B$8-D51))</f>
        <v/>
      </c>
      <c r="F51" s="13">
        <f>MAX(0,C51-E51)</f>
        <v/>
      </c>
    </row>
    <row r="52">
      <c r="A52" s="21" t="n">
        <v>35</v>
      </c>
      <c r="B52" s="33" t="n">
        <v>47058</v>
      </c>
      <c r="C52" s="13">
        <f>F51</f>
        <v/>
      </c>
      <c r="D52" s="13">
        <f>MAX(0,C52*$B$7/12)</f>
        <v/>
      </c>
      <c r="E52" s="13">
        <f>MAX(0,MIN(C52,$B$8-D52))</f>
        <v/>
      </c>
      <c r="F52" s="13">
        <f>MAX(0,C52-E52)</f>
        <v/>
      </c>
    </row>
    <row r="53">
      <c r="A53" s="21" t="n">
        <v>36</v>
      </c>
      <c r="B53" s="33" t="n">
        <v>47088</v>
      </c>
      <c r="C53" s="13">
        <f>F52</f>
        <v/>
      </c>
      <c r="D53" s="13">
        <f>MAX(0,C53*$B$7/12)</f>
        <v/>
      </c>
      <c r="E53" s="13">
        <f>MAX(0,MIN(C53,$B$8-D53))</f>
        <v/>
      </c>
      <c r="F53" s="13">
        <f>MAX(0,C53-E53)</f>
        <v/>
      </c>
    </row>
    <row r="54">
      <c r="A54" s="21" t="n">
        <v>37</v>
      </c>
      <c r="B54" s="33" t="n">
        <v>47119</v>
      </c>
      <c r="C54" s="13">
        <f>F53</f>
        <v/>
      </c>
      <c r="D54" s="13">
        <f>MAX(0,C54*$B$7/12)</f>
        <v/>
      </c>
      <c r="E54" s="13">
        <f>MAX(0,MIN(C54,$B$8-D54))</f>
        <v/>
      </c>
      <c r="F54" s="13">
        <f>MAX(0,C54-E54)</f>
        <v/>
      </c>
    </row>
    <row r="55">
      <c r="A55" s="21" t="n">
        <v>38</v>
      </c>
      <c r="B55" s="33" t="n">
        <v>47150</v>
      </c>
      <c r="C55" s="13">
        <f>F54</f>
        <v/>
      </c>
      <c r="D55" s="13">
        <f>MAX(0,C55*$B$7/12)</f>
        <v/>
      </c>
      <c r="E55" s="13">
        <f>MAX(0,MIN(C55,$B$8-D55))</f>
        <v/>
      </c>
      <c r="F55" s="13">
        <f>MAX(0,C55-E55)</f>
        <v/>
      </c>
    </row>
    <row r="56">
      <c r="A56" s="21" t="n">
        <v>39</v>
      </c>
      <c r="B56" s="33" t="n">
        <v>47178</v>
      </c>
      <c r="C56" s="13">
        <f>F55</f>
        <v/>
      </c>
      <c r="D56" s="13">
        <f>MAX(0,C56*$B$7/12)</f>
        <v/>
      </c>
      <c r="E56" s="13">
        <f>MAX(0,MIN(C56,$B$8-D56))</f>
        <v/>
      </c>
      <c r="F56" s="13">
        <f>MAX(0,C56-E56)</f>
        <v/>
      </c>
    </row>
    <row r="57">
      <c r="A57" s="21" t="n">
        <v>40</v>
      </c>
      <c r="B57" s="33" t="n">
        <v>47209</v>
      </c>
      <c r="C57" s="13">
        <f>F56</f>
        <v/>
      </c>
      <c r="D57" s="13">
        <f>MAX(0,C57*$B$7/12)</f>
        <v/>
      </c>
      <c r="E57" s="13">
        <f>MAX(0,MIN(C57,$B$8-D57))</f>
        <v/>
      </c>
      <c r="F57" s="13">
        <f>MAX(0,C57-E57)</f>
        <v/>
      </c>
    </row>
    <row r="58">
      <c r="A58" s="21" t="n">
        <v>41</v>
      </c>
      <c r="B58" s="33" t="n">
        <v>47239</v>
      </c>
      <c r="C58" s="13">
        <f>F57</f>
        <v/>
      </c>
      <c r="D58" s="13">
        <f>MAX(0,C58*$B$7/12)</f>
        <v/>
      </c>
      <c r="E58" s="13">
        <f>MAX(0,MIN(C58,$B$8-D58))</f>
        <v/>
      </c>
      <c r="F58" s="13">
        <f>MAX(0,C58-E58)</f>
        <v/>
      </c>
    </row>
    <row r="59">
      <c r="A59" s="21" t="n">
        <v>42</v>
      </c>
      <c r="B59" s="33" t="n">
        <v>47270</v>
      </c>
      <c r="C59" s="13">
        <f>F58</f>
        <v/>
      </c>
      <c r="D59" s="13">
        <f>MAX(0,C59*$B$7/12)</f>
        <v/>
      </c>
      <c r="E59" s="13">
        <f>MAX(0,MIN(C59,$B$8-D59))</f>
        <v/>
      </c>
      <c r="F59" s="13">
        <f>MAX(0,C59-E59)</f>
        <v/>
      </c>
    </row>
    <row r="60">
      <c r="A60" s="21" t="n">
        <v>43</v>
      </c>
      <c r="B60" s="33" t="n">
        <v>47300</v>
      </c>
      <c r="C60" s="13">
        <f>F59</f>
        <v/>
      </c>
      <c r="D60" s="13">
        <f>MAX(0,C60*$B$7/12)</f>
        <v/>
      </c>
      <c r="E60" s="13">
        <f>MAX(0,MIN(C60,$B$8-D60))</f>
        <v/>
      </c>
      <c r="F60" s="13">
        <f>MAX(0,C60-E60)</f>
        <v/>
      </c>
    </row>
    <row r="61">
      <c r="A61" s="21" t="n">
        <v>44</v>
      </c>
      <c r="B61" s="33" t="n">
        <v>47331</v>
      </c>
      <c r="C61" s="13">
        <f>F60</f>
        <v/>
      </c>
      <c r="D61" s="13">
        <f>MAX(0,C61*$B$7/12)</f>
        <v/>
      </c>
      <c r="E61" s="13">
        <f>MAX(0,MIN(C61,$B$8-D61))</f>
        <v/>
      </c>
      <c r="F61" s="13">
        <f>MAX(0,C61-E61)</f>
        <v/>
      </c>
    </row>
    <row r="62">
      <c r="A62" s="21" t="n">
        <v>45</v>
      </c>
      <c r="B62" s="33" t="n">
        <v>47362</v>
      </c>
      <c r="C62" s="13">
        <f>F61</f>
        <v/>
      </c>
      <c r="D62" s="13">
        <f>MAX(0,C62*$B$7/12)</f>
        <v/>
      </c>
      <c r="E62" s="13">
        <f>MAX(0,MIN(C62,$B$8-D62))</f>
        <v/>
      </c>
      <c r="F62" s="13">
        <f>MAX(0,C62-E62)</f>
        <v/>
      </c>
    </row>
    <row r="63">
      <c r="A63" s="21" t="n">
        <v>46</v>
      </c>
      <c r="B63" s="33" t="n">
        <v>47392</v>
      </c>
      <c r="C63" s="13">
        <f>F62</f>
        <v/>
      </c>
      <c r="D63" s="13">
        <f>MAX(0,C63*$B$7/12)</f>
        <v/>
      </c>
      <c r="E63" s="13">
        <f>MAX(0,MIN(C63,$B$8-D63))</f>
        <v/>
      </c>
      <c r="F63" s="13">
        <f>MAX(0,C63-E63)</f>
        <v/>
      </c>
    </row>
    <row r="64">
      <c r="A64" s="21" t="n">
        <v>47</v>
      </c>
      <c r="B64" s="33" t="n">
        <v>47423</v>
      </c>
      <c r="C64" s="13">
        <f>F63</f>
        <v/>
      </c>
      <c r="D64" s="13">
        <f>MAX(0,C64*$B$7/12)</f>
        <v/>
      </c>
      <c r="E64" s="13">
        <f>MAX(0,MIN(C64,$B$8-D64))</f>
        <v/>
      </c>
      <c r="F64" s="13">
        <f>MAX(0,C64-E64)</f>
        <v/>
      </c>
    </row>
    <row r="65">
      <c r="A65" s="21" t="n">
        <v>48</v>
      </c>
      <c r="B65" s="33" t="n">
        <v>47453</v>
      </c>
      <c r="C65" s="13">
        <f>F64</f>
        <v/>
      </c>
      <c r="D65" s="13">
        <f>MAX(0,C65*$B$7/12)</f>
        <v/>
      </c>
      <c r="E65" s="13">
        <f>MAX(0,MIN(C65,$B$8-D65))</f>
        <v/>
      </c>
      <c r="F65" s="13">
        <f>MAX(0,C65-E65)</f>
        <v/>
      </c>
    </row>
    <row r="66">
      <c r="A66" s="21" t="n">
        <v>49</v>
      </c>
      <c r="B66" s="33" t="n">
        <v>47484</v>
      </c>
      <c r="C66" s="13">
        <f>F65</f>
        <v/>
      </c>
      <c r="D66" s="13">
        <f>MAX(0,C66*$B$7/12)</f>
        <v/>
      </c>
      <c r="E66" s="13">
        <f>MAX(0,MIN(C66,$B$8-D66))</f>
        <v/>
      </c>
      <c r="F66" s="13">
        <f>MAX(0,C66-E66)</f>
        <v/>
      </c>
    </row>
    <row r="67">
      <c r="A67" s="21" t="n">
        <v>50</v>
      </c>
      <c r="B67" s="33" t="n">
        <v>47515</v>
      </c>
      <c r="C67" s="13">
        <f>F66</f>
        <v/>
      </c>
      <c r="D67" s="13">
        <f>MAX(0,C67*$B$7/12)</f>
        <v/>
      </c>
      <c r="E67" s="13">
        <f>MAX(0,MIN(C67,$B$8-D67))</f>
        <v/>
      </c>
      <c r="F67" s="13">
        <f>MAX(0,C67-E67)</f>
        <v/>
      </c>
    </row>
    <row r="68">
      <c r="A68" s="21" t="n">
        <v>51</v>
      </c>
      <c r="B68" s="33" t="n">
        <v>47543</v>
      </c>
      <c r="C68" s="13">
        <f>F67</f>
        <v/>
      </c>
      <c r="D68" s="13">
        <f>MAX(0,C68*$B$7/12)</f>
        <v/>
      </c>
      <c r="E68" s="13">
        <f>MAX(0,MIN(C68,$B$8-D68))</f>
        <v/>
      </c>
      <c r="F68" s="13">
        <f>MAX(0,C68-E68)</f>
        <v/>
      </c>
    </row>
    <row r="69">
      <c r="A69" s="21" t="n">
        <v>52</v>
      </c>
      <c r="B69" s="33" t="n">
        <v>47574</v>
      </c>
      <c r="C69" s="13">
        <f>F68</f>
        <v/>
      </c>
      <c r="D69" s="13">
        <f>MAX(0,C69*$B$7/12)</f>
        <v/>
      </c>
      <c r="E69" s="13">
        <f>MAX(0,MIN(C69,$B$8-D69))</f>
        <v/>
      </c>
      <c r="F69" s="13">
        <f>MAX(0,C69-E69)</f>
        <v/>
      </c>
    </row>
    <row r="70">
      <c r="A70" s="21" t="n">
        <v>53</v>
      </c>
      <c r="B70" s="33" t="n">
        <v>47604</v>
      </c>
      <c r="C70" s="13">
        <f>F69</f>
        <v/>
      </c>
      <c r="D70" s="13">
        <f>MAX(0,C70*$B$7/12)</f>
        <v/>
      </c>
      <c r="E70" s="13">
        <f>MAX(0,MIN(C70,$B$8-D70))</f>
        <v/>
      </c>
      <c r="F70" s="13">
        <f>MAX(0,C70-E70)</f>
        <v/>
      </c>
    </row>
    <row r="71">
      <c r="A71" s="21" t="n">
        <v>54</v>
      </c>
      <c r="B71" s="33" t="n">
        <v>47635</v>
      </c>
      <c r="C71" s="13">
        <f>F70</f>
        <v/>
      </c>
      <c r="D71" s="13">
        <f>MAX(0,C71*$B$7/12)</f>
        <v/>
      </c>
      <c r="E71" s="13">
        <f>MAX(0,MIN(C71,$B$8-D71))</f>
        <v/>
      </c>
      <c r="F71" s="13">
        <f>MAX(0,C71-E71)</f>
        <v/>
      </c>
    </row>
    <row r="72">
      <c r="A72" s="21" t="n">
        <v>55</v>
      </c>
      <c r="B72" s="33" t="n">
        <v>47665</v>
      </c>
      <c r="C72" s="13">
        <f>F71</f>
        <v/>
      </c>
      <c r="D72" s="13">
        <f>MAX(0,C72*$B$7/12)</f>
        <v/>
      </c>
      <c r="E72" s="13">
        <f>MAX(0,MIN(C72,$B$8-D72))</f>
        <v/>
      </c>
      <c r="F72" s="13">
        <f>MAX(0,C72-E72)</f>
        <v/>
      </c>
    </row>
    <row r="73">
      <c r="A73" s="21" t="n">
        <v>56</v>
      </c>
      <c r="B73" s="33" t="n">
        <v>47696</v>
      </c>
      <c r="C73" s="13">
        <f>F72</f>
        <v/>
      </c>
      <c r="D73" s="13">
        <f>MAX(0,C73*$B$7/12)</f>
        <v/>
      </c>
      <c r="E73" s="13">
        <f>MAX(0,MIN(C73,$B$8-D73))</f>
        <v/>
      </c>
      <c r="F73" s="13">
        <f>MAX(0,C73-E73)</f>
        <v/>
      </c>
    </row>
    <row r="74">
      <c r="A74" s="21" t="n">
        <v>57</v>
      </c>
      <c r="B74" s="33" t="n">
        <v>47727</v>
      </c>
      <c r="C74" s="13">
        <f>F73</f>
        <v/>
      </c>
      <c r="D74" s="13">
        <f>MAX(0,C74*$B$7/12)</f>
        <v/>
      </c>
      <c r="E74" s="13">
        <f>MAX(0,MIN(C74,$B$8-D74))</f>
        <v/>
      </c>
      <c r="F74" s="13">
        <f>MAX(0,C74-E74)</f>
        <v/>
      </c>
    </row>
    <row r="75">
      <c r="A75" s="21" t="n">
        <v>58</v>
      </c>
      <c r="B75" s="33" t="n">
        <v>47757</v>
      </c>
      <c r="C75" s="13">
        <f>F74</f>
        <v/>
      </c>
      <c r="D75" s="13">
        <f>MAX(0,C75*$B$7/12)</f>
        <v/>
      </c>
      <c r="E75" s="13">
        <f>MAX(0,MIN(C75,$B$8-D75))</f>
        <v/>
      </c>
      <c r="F75" s="13">
        <f>MAX(0,C75-E75)</f>
        <v/>
      </c>
    </row>
    <row r="76">
      <c r="A76" s="21" t="n">
        <v>59</v>
      </c>
      <c r="B76" s="33" t="n">
        <v>47788</v>
      </c>
      <c r="C76" s="13">
        <f>F75</f>
        <v/>
      </c>
      <c r="D76" s="13">
        <f>MAX(0,C76*$B$7/12)</f>
        <v/>
      </c>
      <c r="E76" s="13">
        <f>MAX(0,MIN(C76,$B$8-D76))</f>
        <v/>
      </c>
      <c r="F76" s="13">
        <f>MAX(0,C76-E76)</f>
        <v/>
      </c>
    </row>
    <row r="77">
      <c r="A77" s="21" t="n">
        <v>60</v>
      </c>
      <c r="B77" s="33" t="n">
        <v>47818</v>
      </c>
      <c r="C77" s="13">
        <f>F76</f>
        <v/>
      </c>
      <c r="D77" s="13">
        <f>MAX(0,C77*$B$7/12)</f>
        <v/>
      </c>
      <c r="E77" s="13">
        <f>MAX(0,MIN(C77,$B$8-D77))</f>
        <v/>
      </c>
      <c r="F77" s="13">
        <f>MAX(0,C77-E77)</f>
        <v/>
      </c>
    </row>
    <row r="78">
      <c r="A78" s="21" t="n">
        <v>61</v>
      </c>
      <c r="B78" s="33" t="n">
        <v>47849</v>
      </c>
      <c r="C78" s="13">
        <f>F77</f>
        <v/>
      </c>
      <c r="D78" s="13">
        <f>MAX(0,C78*$B$7/12)</f>
        <v/>
      </c>
      <c r="E78" s="13">
        <f>MAX(0,MIN(C78,$B$8-D78))</f>
        <v/>
      </c>
      <c r="F78" s="13">
        <f>MAX(0,C78-E78)</f>
        <v/>
      </c>
    </row>
    <row r="79">
      <c r="A79" s="21" t="n">
        <v>62</v>
      </c>
      <c r="B79" s="33" t="n">
        <v>47880</v>
      </c>
      <c r="C79" s="13">
        <f>F78</f>
        <v/>
      </c>
      <c r="D79" s="13">
        <f>MAX(0,C79*$B$7/12)</f>
        <v/>
      </c>
      <c r="E79" s="13">
        <f>MAX(0,MIN(C79,$B$8-D79))</f>
        <v/>
      </c>
      <c r="F79" s="13">
        <f>MAX(0,C79-E79)</f>
        <v/>
      </c>
    </row>
    <row r="80">
      <c r="A80" s="21" t="n">
        <v>63</v>
      </c>
      <c r="B80" s="33" t="n">
        <v>47908</v>
      </c>
      <c r="C80" s="13">
        <f>F79</f>
        <v/>
      </c>
      <c r="D80" s="13">
        <f>MAX(0,C80*$B$7/12)</f>
        <v/>
      </c>
      <c r="E80" s="13">
        <f>MAX(0,MIN(C80,$B$8-D80))</f>
        <v/>
      </c>
      <c r="F80" s="13">
        <f>MAX(0,C80-E80)</f>
        <v/>
      </c>
    </row>
    <row r="81">
      <c r="A81" s="21" t="n">
        <v>64</v>
      </c>
      <c r="B81" s="33" t="n">
        <v>47939</v>
      </c>
      <c r="C81" s="13">
        <f>F80</f>
        <v/>
      </c>
      <c r="D81" s="13">
        <f>MAX(0,C81*$B$7/12)</f>
        <v/>
      </c>
      <c r="E81" s="13">
        <f>MAX(0,MIN(C81,$B$8-D81))</f>
        <v/>
      </c>
      <c r="F81" s="13">
        <f>MAX(0,C81-E81)</f>
        <v/>
      </c>
    </row>
    <row r="82">
      <c r="A82" s="21" t="n">
        <v>65</v>
      </c>
      <c r="B82" s="33" t="n">
        <v>47969</v>
      </c>
      <c r="C82" s="13">
        <f>F81</f>
        <v/>
      </c>
      <c r="D82" s="13">
        <f>MAX(0,C82*$B$7/12)</f>
        <v/>
      </c>
      <c r="E82" s="13">
        <f>MAX(0,MIN(C82,$B$8-D82))</f>
        <v/>
      </c>
      <c r="F82" s="13">
        <f>MAX(0,C82-E82)</f>
        <v/>
      </c>
    </row>
    <row r="83">
      <c r="A83" s="21" t="n">
        <v>66</v>
      </c>
      <c r="B83" s="33" t="n">
        <v>48000</v>
      </c>
      <c r="C83" s="13">
        <f>F82</f>
        <v/>
      </c>
      <c r="D83" s="13">
        <f>MAX(0,C83*$B$7/12)</f>
        <v/>
      </c>
      <c r="E83" s="13">
        <f>MAX(0,MIN(C83,$B$8-D83))</f>
        <v/>
      </c>
      <c r="F83" s="13">
        <f>MAX(0,C83-E83)</f>
        <v/>
      </c>
    </row>
    <row r="84">
      <c r="A84" s="21" t="n">
        <v>67</v>
      </c>
      <c r="B84" s="33" t="n">
        <v>48030</v>
      </c>
      <c r="C84" s="13">
        <f>F83</f>
        <v/>
      </c>
      <c r="D84" s="13">
        <f>MAX(0,C84*$B$7/12)</f>
        <v/>
      </c>
      <c r="E84" s="13">
        <f>MAX(0,MIN(C84,$B$8-D84))</f>
        <v/>
      </c>
      <c r="F84" s="13">
        <f>MAX(0,C84-E84)</f>
        <v/>
      </c>
    </row>
    <row r="85">
      <c r="A85" s="21" t="n">
        <v>68</v>
      </c>
      <c r="B85" s="33" t="n">
        <v>48061</v>
      </c>
      <c r="C85" s="13">
        <f>F84</f>
        <v/>
      </c>
      <c r="D85" s="13">
        <f>MAX(0,C85*$B$7/12)</f>
        <v/>
      </c>
      <c r="E85" s="13">
        <f>MAX(0,MIN(C85,$B$8-D85))</f>
        <v/>
      </c>
      <c r="F85" s="13">
        <f>MAX(0,C85-E85)</f>
        <v/>
      </c>
    </row>
    <row r="86">
      <c r="A86" s="21" t="n">
        <v>69</v>
      </c>
      <c r="B86" s="33" t="n">
        <v>48092</v>
      </c>
      <c r="C86" s="13">
        <f>F85</f>
        <v/>
      </c>
      <c r="D86" s="13">
        <f>MAX(0,C86*$B$7/12)</f>
        <v/>
      </c>
      <c r="E86" s="13">
        <f>MAX(0,MIN(C86,$B$8-D86))</f>
        <v/>
      </c>
      <c r="F86" s="13">
        <f>MAX(0,C86-E86)</f>
        <v/>
      </c>
    </row>
    <row r="87">
      <c r="A87" s="21" t="n">
        <v>70</v>
      </c>
      <c r="B87" s="33" t="n">
        <v>48122</v>
      </c>
      <c r="C87" s="13">
        <f>F86</f>
        <v/>
      </c>
      <c r="D87" s="13">
        <f>MAX(0,C87*$B$7/12)</f>
        <v/>
      </c>
      <c r="E87" s="13">
        <f>MAX(0,MIN(C87,$B$8-D87))</f>
        <v/>
      </c>
      <c r="F87" s="13">
        <f>MAX(0,C87-E87)</f>
        <v/>
      </c>
    </row>
    <row r="88">
      <c r="A88" s="21" t="n">
        <v>71</v>
      </c>
      <c r="B88" s="33" t="n">
        <v>48153</v>
      </c>
      <c r="C88" s="13">
        <f>F87</f>
        <v/>
      </c>
      <c r="D88" s="13">
        <f>MAX(0,C88*$B$7/12)</f>
        <v/>
      </c>
      <c r="E88" s="13">
        <f>MAX(0,MIN(C88,$B$8-D88))</f>
        <v/>
      </c>
      <c r="F88" s="13">
        <f>MAX(0,C88-E88)</f>
        <v/>
      </c>
    </row>
    <row r="90">
      <c r="A90" s="2" t="inlineStr">
        <is>
          <t>ANNUAL SUMMARY</t>
        </is>
      </c>
    </row>
    <row r="91">
      <c r="A91" s="30" t="inlineStr">
        <is>
          <t>Year</t>
        </is>
      </c>
      <c r="B91" s="30" t="inlineStr"/>
      <c r="C91" s="30" t="inlineStr">
        <is>
          <t>Opening</t>
        </is>
      </c>
      <c r="D91" s="30" t="inlineStr">
        <is>
          <t>Interest</t>
        </is>
      </c>
      <c r="E91" s="30" t="inlineStr">
        <is>
          <t>Principal</t>
        </is>
      </c>
      <c r="F91" s="30" t="inlineStr">
        <is>
          <t>Closing</t>
        </is>
      </c>
    </row>
    <row r="92">
      <c r="A92" s="80" t="n">
        <v>2026</v>
      </c>
      <c r="B92" s="80" t="inlineStr"/>
      <c r="C92" s="81">
        <f>C18</f>
        <v/>
      </c>
      <c r="D92" s="81">
        <f>SUM(D18:D29)</f>
        <v/>
      </c>
      <c r="E92" s="81">
        <f>SUM(E18:E29)</f>
        <v/>
      </c>
      <c r="F92" s="81">
        <f>F29</f>
        <v/>
      </c>
    </row>
    <row r="93">
      <c r="A93" s="80" t="n">
        <v>2027</v>
      </c>
      <c r="B93" s="80" t="inlineStr"/>
      <c r="C93" s="81">
        <f>C30</f>
        <v/>
      </c>
      <c r="D93" s="81">
        <f>SUM(D30:D41)</f>
        <v/>
      </c>
      <c r="E93" s="81">
        <f>SUM(E30:E41)</f>
        <v/>
      </c>
      <c r="F93" s="81">
        <f>F41</f>
        <v/>
      </c>
    </row>
    <row r="94">
      <c r="A94" s="80" t="n">
        <v>2028</v>
      </c>
      <c r="B94" s="80" t="inlineStr"/>
      <c r="C94" s="81">
        <f>C42</f>
        <v/>
      </c>
      <c r="D94" s="81">
        <f>SUM(D42:D53)</f>
        <v/>
      </c>
      <c r="E94" s="81">
        <f>SUM(E42:E53)</f>
        <v/>
      </c>
      <c r="F94" s="81">
        <f>F53</f>
        <v/>
      </c>
    </row>
  </sheetData>
  <mergeCells count="3">
    <mergeCell ref="A1:F1"/>
    <mergeCell ref="A12:F12"/>
    <mergeCell ref="A90:F90"/>
  </mergeCells>
  <pageMargins left="0.75" right="0.75" top="1" bottom="1" header="0.5" footer="0.5"/>
  <legacyDrawing xmlns:r="http://schemas.openxmlformats.org/officeDocument/2006/relationships" r:id="anysvml"/>
</worksheet>
</file>

<file path=xl/worksheets/sheet86.xml><?xml version="1.0" encoding="utf-8"?>
<worksheet xmlns="http://schemas.openxmlformats.org/spreadsheetml/2006/main">
  <sheetPr>
    <tabColor rgb="00808080"/>
    <outlinePr summaryBelow="1" summaryRight="1"/>
    <pageSetUpPr/>
  </sheetPr>
  <dimension ref="A1:F96"/>
  <sheetViews>
    <sheetView workbookViewId="0">
      <selection activeCell="A1" sqref="A1"/>
    </sheetView>
  </sheetViews>
  <sheetFormatPr baseColWidth="8" defaultRowHeight="15"/>
  <cols>
    <col width="18" customWidth="1" min="1" max="1"/>
    <col width="20" customWidth="1" min="2" max="2"/>
    <col width="16" customWidth="1" min="3" max="3"/>
    <col width="14" customWidth="1" min="4" max="4"/>
    <col width="14" customWidth="1" min="5" max="5"/>
    <col width="16" customWidth="1" min="6" max="6"/>
  </cols>
  <sheetData>
    <row r="1">
      <c r="A1" s="2" t="inlineStr">
        <is>
          <t>LOAN DETAILS</t>
        </is>
      </c>
    </row>
    <row r="2">
      <c r="A2" s="1" t="inlineStr">
        <is>
          <t>Lender:</t>
        </is>
      </c>
      <c r="B2" s="4" t="inlineStr">
        <is>
          <t>First Commonwealth</t>
        </is>
      </c>
    </row>
    <row r="3">
      <c r="A3" s="1" t="inlineStr">
        <is>
          <t>Description:</t>
        </is>
      </c>
      <c r="B3" s="4" t="inlineStr">
        <is>
          <t>2021 Lowboy Vin 1068838</t>
        </is>
      </c>
    </row>
    <row r="4">
      <c r="A4" s="1" t="inlineStr">
        <is>
          <t>Loan ID:</t>
        </is>
      </c>
      <c r="B4" s="4" t="inlineStr">
        <is>
          <t>01-2982-000-000-00</t>
        </is>
      </c>
    </row>
    <row r="5">
      <c r="A5" s="1" t="inlineStr">
        <is>
          <t>Original Balance:</t>
        </is>
      </c>
      <c r="B5" s="26" t="n">
        <v>81289.59</v>
      </c>
    </row>
    <row r="6">
      <c r="A6" s="1" t="inlineStr">
        <is>
          <t>Current Balance:</t>
        </is>
      </c>
      <c r="B6" s="26" t="n">
        <v>81290</v>
      </c>
    </row>
    <row r="7">
      <c r="A7" s="1" t="inlineStr">
        <is>
          <t>Annual Rate:</t>
        </is>
      </c>
      <c r="B7" s="6" t="n">
        <v>0.0955</v>
      </c>
    </row>
    <row r="8">
      <c r="A8" s="1" t="inlineStr">
        <is>
          <t>Monthly Payment:</t>
        </is>
      </c>
      <c r="B8" s="26" t="n">
        <v>1487</v>
      </c>
    </row>
    <row r="9">
      <c r="A9" s="1" t="inlineStr">
        <is>
          <t>Maturity Date:</t>
        </is>
      </c>
      <c r="B9" s="52" t="n">
        <v>48190</v>
      </c>
    </row>
    <row r="10">
      <c r="A10" s="1" t="inlineStr">
        <is>
          <t>Loan Type:</t>
        </is>
      </c>
      <c r="B10" s="4" t="inlineStr">
        <is>
          <t>AMORTIZING</t>
        </is>
      </c>
    </row>
    <row r="12">
      <c r="A12" s="8" t="inlineStr">
        <is>
          <t>AI ANALYSIS</t>
        </is>
      </c>
    </row>
    <row r="13">
      <c r="A13" s="1" t="inlineStr">
        <is>
          <t>Classification:</t>
        </is>
      </c>
      <c r="B13" s="9" t="inlineStr">
        <is>
          <t>Standard amortizing equipment loan - Equipment</t>
        </is>
      </c>
    </row>
    <row r="14">
      <c r="A14" s="1" t="inlineStr">
        <is>
          <t>Amortization:</t>
        </is>
      </c>
      <c r="B14" s="9" t="inlineStr">
        <is>
          <t>~72 months remaining from 12/31/2025 to maturity</t>
        </is>
      </c>
    </row>
    <row r="15">
      <c r="A15" s="1" t="inlineStr">
        <is>
          <t>Source Doc:</t>
        </is>
      </c>
      <c r="B15" s="9" t="inlineStr">
        <is>
          <t>Meiborg_Debt_Schedule_202512.xlsx</t>
        </is>
      </c>
    </row>
    <row r="17">
      <c r="A17" s="10" t="inlineStr">
        <is>
          <t>Month #</t>
        </is>
      </c>
      <c r="B17" s="10" t="inlineStr">
        <is>
          <t>Date</t>
        </is>
      </c>
      <c r="C17" s="10" t="inlineStr">
        <is>
          <t>Opening Balance</t>
        </is>
      </c>
      <c r="D17" s="10" t="inlineStr">
        <is>
          <t>Interest</t>
        </is>
      </c>
      <c r="E17" s="10" t="inlineStr">
        <is>
          <t>Principal</t>
        </is>
      </c>
      <c r="F17" s="10" t="inlineStr">
        <is>
          <t>Closing Balance</t>
        </is>
      </c>
    </row>
    <row r="18">
      <c r="A18" s="21" t="n">
        <v>1</v>
      </c>
      <c r="B18" s="33" t="n">
        <v>46023</v>
      </c>
      <c r="C18" s="13">
        <f>$B$6</f>
        <v/>
      </c>
      <c r="D18" s="13">
        <f>MAX(0,C18*$B$7/12)</f>
        <v/>
      </c>
      <c r="E18" s="13">
        <f>MAX(0,MIN(C18,$B$8-D18))</f>
        <v/>
      </c>
      <c r="F18" s="13">
        <f>MAX(0,C18-E18)</f>
        <v/>
      </c>
    </row>
    <row r="19">
      <c r="A19" s="21" t="n">
        <v>2</v>
      </c>
      <c r="B19" s="33" t="n">
        <v>46054</v>
      </c>
      <c r="C19" s="13">
        <f>F18</f>
        <v/>
      </c>
      <c r="D19" s="13">
        <f>MAX(0,C19*$B$7/12)</f>
        <v/>
      </c>
      <c r="E19" s="13">
        <f>MAX(0,MIN(C19,$B$8-D19))</f>
        <v/>
      </c>
      <c r="F19" s="13">
        <f>MAX(0,C19-E19)</f>
        <v/>
      </c>
    </row>
    <row r="20">
      <c r="A20" s="21" t="n">
        <v>3</v>
      </c>
      <c r="B20" s="33" t="n">
        <v>46082</v>
      </c>
      <c r="C20" s="13">
        <f>F19</f>
        <v/>
      </c>
      <c r="D20" s="13">
        <f>MAX(0,C20*$B$7/12)</f>
        <v/>
      </c>
      <c r="E20" s="13">
        <f>MAX(0,MIN(C20,$B$8-D20))</f>
        <v/>
      </c>
      <c r="F20" s="13">
        <f>MAX(0,C20-E20)</f>
        <v/>
      </c>
    </row>
    <row r="21">
      <c r="A21" s="21" t="n">
        <v>4</v>
      </c>
      <c r="B21" s="33" t="n">
        <v>46113</v>
      </c>
      <c r="C21" s="13">
        <f>F20</f>
        <v/>
      </c>
      <c r="D21" s="13">
        <f>MAX(0,C21*$B$7/12)</f>
        <v/>
      </c>
      <c r="E21" s="13">
        <f>MAX(0,MIN(C21,$B$8-D21))</f>
        <v/>
      </c>
      <c r="F21" s="13">
        <f>MAX(0,C21-E21)</f>
        <v/>
      </c>
    </row>
    <row r="22">
      <c r="A22" s="21" t="n">
        <v>5</v>
      </c>
      <c r="B22" s="33" t="n">
        <v>46143</v>
      </c>
      <c r="C22" s="13">
        <f>F21</f>
        <v/>
      </c>
      <c r="D22" s="13">
        <f>MAX(0,C22*$B$7/12)</f>
        <v/>
      </c>
      <c r="E22" s="13">
        <f>MAX(0,MIN(C22,$B$8-D22))</f>
        <v/>
      </c>
      <c r="F22" s="13">
        <f>MAX(0,C22-E22)</f>
        <v/>
      </c>
    </row>
    <row r="23">
      <c r="A23" s="21" t="n">
        <v>6</v>
      </c>
      <c r="B23" s="33" t="n">
        <v>46174</v>
      </c>
      <c r="C23" s="13">
        <f>F22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21" t="n">
        <v>7</v>
      </c>
      <c r="B24" s="33" t="n">
        <v>46204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21" t="n">
        <v>8</v>
      </c>
      <c r="B25" s="33" t="n">
        <v>46235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21" t="n">
        <v>9</v>
      </c>
      <c r="B26" s="33" t="n">
        <v>46266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21" t="n">
        <v>10</v>
      </c>
      <c r="B27" s="33" t="n">
        <v>46296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21" t="n">
        <v>11</v>
      </c>
      <c r="B28" s="33" t="n">
        <v>46327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21" t="n">
        <v>12</v>
      </c>
      <c r="B29" s="33" t="n">
        <v>46357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21" t="n">
        <v>13</v>
      </c>
      <c r="B30" s="33" t="n">
        <v>46388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21" t="n">
        <v>14</v>
      </c>
      <c r="B31" s="33" t="n">
        <v>46419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21" t="n">
        <v>15</v>
      </c>
      <c r="B32" s="33" t="n">
        <v>46447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21" t="n">
        <v>16</v>
      </c>
      <c r="B33" s="33" t="n">
        <v>46478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4">
      <c r="A34" s="21" t="n">
        <v>17</v>
      </c>
      <c r="B34" s="33" t="n">
        <v>46508</v>
      </c>
      <c r="C34" s="13">
        <f>F33</f>
        <v/>
      </c>
      <c r="D34" s="13">
        <f>MAX(0,C34*$B$7/12)</f>
        <v/>
      </c>
      <c r="E34" s="13">
        <f>MAX(0,MIN(C34,$B$8-D34))</f>
        <v/>
      </c>
      <c r="F34" s="13">
        <f>MAX(0,C34-E34)</f>
        <v/>
      </c>
    </row>
    <row r="35">
      <c r="A35" s="21" t="n">
        <v>18</v>
      </c>
      <c r="B35" s="33" t="n">
        <v>46539</v>
      </c>
      <c r="C35" s="13">
        <f>F34</f>
        <v/>
      </c>
      <c r="D35" s="13">
        <f>MAX(0,C35*$B$7/12)</f>
        <v/>
      </c>
      <c r="E35" s="13">
        <f>MAX(0,MIN(C35,$B$8-D35))</f>
        <v/>
      </c>
      <c r="F35" s="13">
        <f>MAX(0,C35-E35)</f>
        <v/>
      </c>
    </row>
    <row r="36">
      <c r="A36" s="21" t="n">
        <v>19</v>
      </c>
      <c r="B36" s="33" t="n">
        <v>46569</v>
      </c>
      <c r="C36" s="13">
        <f>F35</f>
        <v/>
      </c>
      <c r="D36" s="13">
        <f>MAX(0,C36*$B$7/12)</f>
        <v/>
      </c>
      <c r="E36" s="13">
        <f>MAX(0,MIN(C36,$B$8-D36))</f>
        <v/>
      </c>
      <c r="F36" s="13">
        <f>MAX(0,C36-E36)</f>
        <v/>
      </c>
    </row>
    <row r="37">
      <c r="A37" s="21" t="n">
        <v>20</v>
      </c>
      <c r="B37" s="33" t="n">
        <v>46600</v>
      </c>
      <c r="C37" s="13">
        <f>F36</f>
        <v/>
      </c>
      <c r="D37" s="13">
        <f>MAX(0,C37*$B$7/12)</f>
        <v/>
      </c>
      <c r="E37" s="13">
        <f>MAX(0,MIN(C37,$B$8-D37))</f>
        <v/>
      </c>
      <c r="F37" s="13">
        <f>MAX(0,C37-E37)</f>
        <v/>
      </c>
    </row>
    <row r="38">
      <c r="A38" s="21" t="n">
        <v>21</v>
      </c>
      <c r="B38" s="33" t="n">
        <v>46631</v>
      </c>
      <c r="C38" s="13">
        <f>F37</f>
        <v/>
      </c>
      <c r="D38" s="13">
        <f>MAX(0,C38*$B$7/12)</f>
        <v/>
      </c>
      <c r="E38" s="13">
        <f>MAX(0,MIN(C38,$B$8-D38))</f>
        <v/>
      </c>
      <c r="F38" s="13">
        <f>MAX(0,C38-E38)</f>
        <v/>
      </c>
    </row>
    <row r="39">
      <c r="A39" s="21" t="n">
        <v>22</v>
      </c>
      <c r="B39" s="33" t="n">
        <v>46661</v>
      </c>
      <c r="C39" s="13">
        <f>F38</f>
        <v/>
      </c>
      <c r="D39" s="13">
        <f>MAX(0,C39*$B$7/12)</f>
        <v/>
      </c>
      <c r="E39" s="13">
        <f>MAX(0,MIN(C39,$B$8-D39))</f>
        <v/>
      </c>
      <c r="F39" s="13">
        <f>MAX(0,C39-E39)</f>
        <v/>
      </c>
    </row>
    <row r="40">
      <c r="A40" s="21" t="n">
        <v>23</v>
      </c>
      <c r="B40" s="33" t="n">
        <v>46692</v>
      </c>
      <c r="C40" s="13">
        <f>F39</f>
        <v/>
      </c>
      <c r="D40" s="13">
        <f>MAX(0,C40*$B$7/12)</f>
        <v/>
      </c>
      <c r="E40" s="13">
        <f>MAX(0,MIN(C40,$B$8-D40))</f>
        <v/>
      </c>
      <c r="F40" s="13">
        <f>MAX(0,C40-E40)</f>
        <v/>
      </c>
    </row>
    <row r="41">
      <c r="A41" s="21" t="n">
        <v>24</v>
      </c>
      <c r="B41" s="33" t="n">
        <v>46722</v>
      </c>
      <c r="C41" s="13">
        <f>F40</f>
        <v/>
      </c>
      <c r="D41" s="13">
        <f>MAX(0,C41*$B$7/12)</f>
        <v/>
      </c>
      <c r="E41" s="13">
        <f>MAX(0,MIN(C41,$B$8-D41))</f>
        <v/>
      </c>
      <c r="F41" s="13">
        <f>MAX(0,C41-E41)</f>
        <v/>
      </c>
    </row>
    <row r="42">
      <c r="A42" s="21" t="n">
        <v>25</v>
      </c>
      <c r="B42" s="33" t="n">
        <v>46753</v>
      </c>
      <c r="C42" s="13">
        <f>F41</f>
        <v/>
      </c>
      <c r="D42" s="13">
        <f>MAX(0,C42*$B$7/12)</f>
        <v/>
      </c>
      <c r="E42" s="13">
        <f>MAX(0,MIN(C42,$B$8-D42))</f>
        <v/>
      </c>
      <c r="F42" s="13">
        <f>MAX(0,C42-E42)</f>
        <v/>
      </c>
    </row>
    <row r="43">
      <c r="A43" s="21" t="n">
        <v>26</v>
      </c>
      <c r="B43" s="33" t="n">
        <v>46784</v>
      </c>
      <c r="C43" s="13">
        <f>F42</f>
        <v/>
      </c>
      <c r="D43" s="13">
        <f>MAX(0,C43*$B$7/12)</f>
        <v/>
      </c>
      <c r="E43" s="13">
        <f>MAX(0,MIN(C43,$B$8-D43))</f>
        <v/>
      </c>
      <c r="F43" s="13">
        <f>MAX(0,C43-E43)</f>
        <v/>
      </c>
    </row>
    <row r="44">
      <c r="A44" s="21" t="n">
        <v>27</v>
      </c>
      <c r="B44" s="33" t="n">
        <v>46813</v>
      </c>
      <c r="C44" s="13">
        <f>F43</f>
        <v/>
      </c>
      <c r="D44" s="13">
        <f>MAX(0,C44*$B$7/12)</f>
        <v/>
      </c>
      <c r="E44" s="13">
        <f>MAX(0,MIN(C44,$B$8-D44))</f>
        <v/>
      </c>
      <c r="F44" s="13">
        <f>MAX(0,C44-E44)</f>
        <v/>
      </c>
    </row>
    <row r="45">
      <c r="A45" s="21" t="n">
        <v>28</v>
      </c>
      <c r="B45" s="33" t="n">
        <v>46844</v>
      </c>
      <c r="C45" s="13">
        <f>F44</f>
        <v/>
      </c>
      <c r="D45" s="13">
        <f>MAX(0,C45*$B$7/12)</f>
        <v/>
      </c>
      <c r="E45" s="13">
        <f>MAX(0,MIN(C45,$B$8-D45))</f>
        <v/>
      </c>
      <c r="F45" s="13">
        <f>MAX(0,C45-E45)</f>
        <v/>
      </c>
    </row>
    <row r="46">
      <c r="A46" s="21" t="n">
        <v>29</v>
      </c>
      <c r="B46" s="33" t="n">
        <v>46874</v>
      </c>
      <c r="C46" s="13">
        <f>F45</f>
        <v/>
      </c>
      <c r="D46" s="13">
        <f>MAX(0,C46*$B$7/12)</f>
        <v/>
      </c>
      <c r="E46" s="13">
        <f>MAX(0,MIN(C46,$B$8-D46))</f>
        <v/>
      </c>
      <c r="F46" s="13">
        <f>MAX(0,C46-E46)</f>
        <v/>
      </c>
    </row>
    <row r="47">
      <c r="A47" s="21" t="n">
        <v>30</v>
      </c>
      <c r="B47" s="33" t="n">
        <v>46905</v>
      </c>
      <c r="C47" s="13">
        <f>F46</f>
        <v/>
      </c>
      <c r="D47" s="13">
        <f>MAX(0,C47*$B$7/12)</f>
        <v/>
      </c>
      <c r="E47" s="13">
        <f>MAX(0,MIN(C47,$B$8-D47))</f>
        <v/>
      </c>
      <c r="F47" s="13">
        <f>MAX(0,C47-E47)</f>
        <v/>
      </c>
    </row>
    <row r="48">
      <c r="A48" s="21" t="n">
        <v>31</v>
      </c>
      <c r="B48" s="33" t="n">
        <v>46935</v>
      </c>
      <c r="C48" s="13">
        <f>F47</f>
        <v/>
      </c>
      <c r="D48" s="13">
        <f>MAX(0,C48*$B$7/12)</f>
        <v/>
      </c>
      <c r="E48" s="13">
        <f>MAX(0,MIN(C48,$B$8-D48))</f>
        <v/>
      </c>
      <c r="F48" s="13">
        <f>MAX(0,C48-E48)</f>
        <v/>
      </c>
    </row>
    <row r="49">
      <c r="A49" s="21" t="n">
        <v>32</v>
      </c>
      <c r="B49" s="33" t="n">
        <v>46966</v>
      </c>
      <c r="C49" s="13">
        <f>F48</f>
        <v/>
      </c>
      <c r="D49" s="13">
        <f>MAX(0,C49*$B$7/12)</f>
        <v/>
      </c>
      <c r="E49" s="13">
        <f>MAX(0,MIN(C49,$B$8-D49))</f>
        <v/>
      </c>
      <c r="F49" s="13">
        <f>MAX(0,C49-E49)</f>
        <v/>
      </c>
    </row>
    <row r="50">
      <c r="A50" s="21" t="n">
        <v>33</v>
      </c>
      <c r="B50" s="33" t="n">
        <v>46997</v>
      </c>
      <c r="C50" s="13">
        <f>F49</f>
        <v/>
      </c>
      <c r="D50" s="13">
        <f>MAX(0,C50*$B$7/12)</f>
        <v/>
      </c>
      <c r="E50" s="13">
        <f>MAX(0,MIN(C50,$B$8-D50))</f>
        <v/>
      </c>
      <c r="F50" s="13">
        <f>MAX(0,C50-E50)</f>
        <v/>
      </c>
    </row>
    <row r="51">
      <c r="A51" s="21" t="n">
        <v>34</v>
      </c>
      <c r="B51" s="33" t="n">
        <v>47027</v>
      </c>
      <c r="C51" s="13">
        <f>F50</f>
        <v/>
      </c>
      <c r="D51" s="13">
        <f>MAX(0,C51*$B$7/12)</f>
        <v/>
      </c>
      <c r="E51" s="13">
        <f>MAX(0,MIN(C51,$B$8-D51))</f>
        <v/>
      </c>
      <c r="F51" s="13">
        <f>MAX(0,C51-E51)</f>
        <v/>
      </c>
    </row>
    <row r="52">
      <c r="A52" s="21" t="n">
        <v>35</v>
      </c>
      <c r="B52" s="33" t="n">
        <v>47058</v>
      </c>
      <c r="C52" s="13">
        <f>F51</f>
        <v/>
      </c>
      <c r="D52" s="13">
        <f>MAX(0,C52*$B$7/12)</f>
        <v/>
      </c>
      <c r="E52" s="13">
        <f>MAX(0,MIN(C52,$B$8-D52))</f>
        <v/>
      </c>
      <c r="F52" s="13">
        <f>MAX(0,C52-E52)</f>
        <v/>
      </c>
    </row>
    <row r="53">
      <c r="A53" s="21" t="n">
        <v>36</v>
      </c>
      <c r="B53" s="33" t="n">
        <v>47088</v>
      </c>
      <c r="C53" s="13">
        <f>F52</f>
        <v/>
      </c>
      <c r="D53" s="13">
        <f>MAX(0,C53*$B$7/12)</f>
        <v/>
      </c>
      <c r="E53" s="13">
        <f>MAX(0,MIN(C53,$B$8-D53))</f>
        <v/>
      </c>
      <c r="F53" s="13">
        <f>MAX(0,C53-E53)</f>
        <v/>
      </c>
    </row>
    <row r="54">
      <c r="A54" s="21" t="n">
        <v>37</v>
      </c>
      <c r="B54" s="33" t="n">
        <v>47119</v>
      </c>
      <c r="C54" s="13">
        <f>F53</f>
        <v/>
      </c>
      <c r="D54" s="13">
        <f>MAX(0,C54*$B$7/12)</f>
        <v/>
      </c>
      <c r="E54" s="13">
        <f>MAX(0,MIN(C54,$B$8-D54))</f>
        <v/>
      </c>
      <c r="F54" s="13">
        <f>MAX(0,C54-E54)</f>
        <v/>
      </c>
    </row>
    <row r="55">
      <c r="A55" s="21" t="n">
        <v>38</v>
      </c>
      <c r="B55" s="33" t="n">
        <v>47150</v>
      </c>
      <c r="C55" s="13">
        <f>F54</f>
        <v/>
      </c>
      <c r="D55" s="13">
        <f>MAX(0,C55*$B$7/12)</f>
        <v/>
      </c>
      <c r="E55" s="13">
        <f>MAX(0,MIN(C55,$B$8-D55))</f>
        <v/>
      </c>
      <c r="F55" s="13">
        <f>MAX(0,C55-E55)</f>
        <v/>
      </c>
    </row>
    <row r="56">
      <c r="A56" s="21" t="n">
        <v>39</v>
      </c>
      <c r="B56" s="33" t="n">
        <v>47178</v>
      </c>
      <c r="C56" s="13">
        <f>F55</f>
        <v/>
      </c>
      <c r="D56" s="13">
        <f>MAX(0,C56*$B$7/12)</f>
        <v/>
      </c>
      <c r="E56" s="13">
        <f>MAX(0,MIN(C56,$B$8-D56))</f>
        <v/>
      </c>
      <c r="F56" s="13">
        <f>MAX(0,C56-E56)</f>
        <v/>
      </c>
    </row>
    <row r="57">
      <c r="A57" s="21" t="n">
        <v>40</v>
      </c>
      <c r="B57" s="33" t="n">
        <v>47209</v>
      </c>
      <c r="C57" s="13">
        <f>F56</f>
        <v/>
      </c>
      <c r="D57" s="13">
        <f>MAX(0,C57*$B$7/12)</f>
        <v/>
      </c>
      <c r="E57" s="13">
        <f>MAX(0,MIN(C57,$B$8-D57))</f>
        <v/>
      </c>
      <c r="F57" s="13">
        <f>MAX(0,C57-E57)</f>
        <v/>
      </c>
    </row>
    <row r="58">
      <c r="A58" s="21" t="n">
        <v>41</v>
      </c>
      <c r="B58" s="33" t="n">
        <v>47239</v>
      </c>
      <c r="C58" s="13">
        <f>F57</f>
        <v/>
      </c>
      <c r="D58" s="13">
        <f>MAX(0,C58*$B$7/12)</f>
        <v/>
      </c>
      <c r="E58" s="13">
        <f>MAX(0,MIN(C58,$B$8-D58))</f>
        <v/>
      </c>
      <c r="F58" s="13">
        <f>MAX(0,C58-E58)</f>
        <v/>
      </c>
    </row>
    <row r="59">
      <c r="A59" s="21" t="n">
        <v>42</v>
      </c>
      <c r="B59" s="33" t="n">
        <v>47270</v>
      </c>
      <c r="C59" s="13">
        <f>F58</f>
        <v/>
      </c>
      <c r="D59" s="13">
        <f>MAX(0,C59*$B$7/12)</f>
        <v/>
      </c>
      <c r="E59" s="13">
        <f>MAX(0,MIN(C59,$B$8-D59))</f>
        <v/>
      </c>
      <c r="F59" s="13">
        <f>MAX(0,C59-E59)</f>
        <v/>
      </c>
    </row>
    <row r="60">
      <c r="A60" s="21" t="n">
        <v>43</v>
      </c>
      <c r="B60" s="33" t="n">
        <v>47300</v>
      </c>
      <c r="C60" s="13">
        <f>F59</f>
        <v/>
      </c>
      <c r="D60" s="13">
        <f>MAX(0,C60*$B$7/12)</f>
        <v/>
      </c>
      <c r="E60" s="13">
        <f>MAX(0,MIN(C60,$B$8-D60))</f>
        <v/>
      </c>
      <c r="F60" s="13">
        <f>MAX(0,C60-E60)</f>
        <v/>
      </c>
    </row>
    <row r="61">
      <c r="A61" s="21" t="n">
        <v>44</v>
      </c>
      <c r="B61" s="33" t="n">
        <v>47331</v>
      </c>
      <c r="C61" s="13">
        <f>F60</f>
        <v/>
      </c>
      <c r="D61" s="13">
        <f>MAX(0,C61*$B$7/12)</f>
        <v/>
      </c>
      <c r="E61" s="13">
        <f>MAX(0,MIN(C61,$B$8-D61))</f>
        <v/>
      </c>
      <c r="F61" s="13">
        <f>MAX(0,C61-E61)</f>
        <v/>
      </c>
    </row>
    <row r="62">
      <c r="A62" s="21" t="n">
        <v>45</v>
      </c>
      <c r="B62" s="33" t="n">
        <v>47362</v>
      </c>
      <c r="C62" s="13">
        <f>F61</f>
        <v/>
      </c>
      <c r="D62" s="13">
        <f>MAX(0,C62*$B$7/12)</f>
        <v/>
      </c>
      <c r="E62" s="13">
        <f>MAX(0,MIN(C62,$B$8-D62))</f>
        <v/>
      </c>
      <c r="F62" s="13">
        <f>MAX(0,C62-E62)</f>
        <v/>
      </c>
    </row>
    <row r="63">
      <c r="A63" s="21" t="n">
        <v>46</v>
      </c>
      <c r="B63" s="33" t="n">
        <v>47392</v>
      </c>
      <c r="C63" s="13">
        <f>F62</f>
        <v/>
      </c>
      <c r="D63" s="13">
        <f>MAX(0,C63*$B$7/12)</f>
        <v/>
      </c>
      <c r="E63" s="13">
        <f>MAX(0,MIN(C63,$B$8-D63))</f>
        <v/>
      </c>
      <c r="F63" s="13">
        <f>MAX(0,C63-E63)</f>
        <v/>
      </c>
    </row>
    <row r="64">
      <c r="A64" s="21" t="n">
        <v>47</v>
      </c>
      <c r="B64" s="33" t="n">
        <v>47423</v>
      </c>
      <c r="C64" s="13">
        <f>F63</f>
        <v/>
      </c>
      <c r="D64" s="13">
        <f>MAX(0,C64*$B$7/12)</f>
        <v/>
      </c>
      <c r="E64" s="13">
        <f>MAX(0,MIN(C64,$B$8-D64))</f>
        <v/>
      </c>
      <c r="F64" s="13">
        <f>MAX(0,C64-E64)</f>
        <v/>
      </c>
    </row>
    <row r="65">
      <c r="A65" s="21" t="n">
        <v>48</v>
      </c>
      <c r="B65" s="33" t="n">
        <v>47453</v>
      </c>
      <c r="C65" s="13">
        <f>F64</f>
        <v/>
      </c>
      <c r="D65" s="13">
        <f>MAX(0,C65*$B$7/12)</f>
        <v/>
      </c>
      <c r="E65" s="13">
        <f>MAX(0,MIN(C65,$B$8-D65))</f>
        <v/>
      </c>
      <c r="F65" s="13">
        <f>MAX(0,C65-E65)</f>
        <v/>
      </c>
    </row>
    <row r="66">
      <c r="A66" s="21" t="n">
        <v>49</v>
      </c>
      <c r="B66" s="33" t="n">
        <v>47484</v>
      </c>
      <c r="C66" s="13">
        <f>F65</f>
        <v/>
      </c>
      <c r="D66" s="13">
        <f>MAX(0,C66*$B$7/12)</f>
        <v/>
      </c>
      <c r="E66" s="13">
        <f>MAX(0,MIN(C66,$B$8-D66))</f>
        <v/>
      </c>
      <c r="F66" s="13">
        <f>MAX(0,C66-E66)</f>
        <v/>
      </c>
    </row>
    <row r="67">
      <c r="A67" s="21" t="n">
        <v>50</v>
      </c>
      <c r="B67" s="33" t="n">
        <v>47515</v>
      </c>
      <c r="C67" s="13">
        <f>F66</f>
        <v/>
      </c>
      <c r="D67" s="13">
        <f>MAX(0,C67*$B$7/12)</f>
        <v/>
      </c>
      <c r="E67" s="13">
        <f>MAX(0,MIN(C67,$B$8-D67))</f>
        <v/>
      </c>
      <c r="F67" s="13">
        <f>MAX(0,C67-E67)</f>
        <v/>
      </c>
    </row>
    <row r="68">
      <c r="A68" s="21" t="n">
        <v>51</v>
      </c>
      <c r="B68" s="33" t="n">
        <v>47543</v>
      </c>
      <c r="C68" s="13">
        <f>F67</f>
        <v/>
      </c>
      <c r="D68" s="13">
        <f>MAX(0,C68*$B$7/12)</f>
        <v/>
      </c>
      <c r="E68" s="13">
        <f>MAX(0,MIN(C68,$B$8-D68))</f>
        <v/>
      </c>
      <c r="F68" s="13">
        <f>MAX(0,C68-E68)</f>
        <v/>
      </c>
    </row>
    <row r="69">
      <c r="A69" s="21" t="n">
        <v>52</v>
      </c>
      <c r="B69" s="33" t="n">
        <v>47574</v>
      </c>
      <c r="C69" s="13">
        <f>F68</f>
        <v/>
      </c>
      <c r="D69" s="13">
        <f>MAX(0,C69*$B$7/12)</f>
        <v/>
      </c>
      <c r="E69" s="13">
        <f>MAX(0,MIN(C69,$B$8-D69))</f>
        <v/>
      </c>
      <c r="F69" s="13">
        <f>MAX(0,C69-E69)</f>
        <v/>
      </c>
    </row>
    <row r="70">
      <c r="A70" s="21" t="n">
        <v>53</v>
      </c>
      <c r="B70" s="33" t="n">
        <v>47604</v>
      </c>
      <c r="C70" s="13">
        <f>F69</f>
        <v/>
      </c>
      <c r="D70" s="13">
        <f>MAX(0,C70*$B$7/12)</f>
        <v/>
      </c>
      <c r="E70" s="13">
        <f>MAX(0,MIN(C70,$B$8-D70))</f>
        <v/>
      </c>
      <c r="F70" s="13">
        <f>MAX(0,C70-E70)</f>
        <v/>
      </c>
    </row>
    <row r="71">
      <c r="A71" s="21" t="n">
        <v>54</v>
      </c>
      <c r="B71" s="33" t="n">
        <v>47635</v>
      </c>
      <c r="C71" s="13">
        <f>F70</f>
        <v/>
      </c>
      <c r="D71" s="13">
        <f>MAX(0,C71*$B$7/12)</f>
        <v/>
      </c>
      <c r="E71" s="13">
        <f>MAX(0,MIN(C71,$B$8-D71))</f>
        <v/>
      </c>
      <c r="F71" s="13">
        <f>MAX(0,C71-E71)</f>
        <v/>
      </c>
    </row>
    <row r="72">
      <c r="A72" s="21" t="n">
        <v>55</v>
      </c>
      <c r="B72" s="33" t="n">
        <v>47665</v>
      </c>
      <c r="C72" s="13">
        <f>F71</f>
        <v/>
      </c>
      <c r="D72" s="13">
        <f>MAX(0,C72*$B$7/12)</f>
        <v/>
      </c>
      <c r="E72" s="13">
        <f>MAX(0,MIN(C72,$B$8-D72))</f>
        <v/>
      </c>
      <c r="F72" s="13">
        <f>MAX(0,C72-E72)</f>
        <v/>
      </c>
    </row>
    <row r="73">
      <c r="A73" s="21" t="n">
        <v>56</v>
      </c>
      <c r="B73" s="33" t="n">
        <v>47696</v>
      </c>
      <c r="C73" s="13">
        <f>F72</f>
        <v/>
      </c>
      <c r="D73" s="13">
        <f>MAX(0,C73*$B$7/12)</f>
        <v/>
      </c>
      <c r="E73" s="13">
        <f>MAX(0,MIN(C73,$B$8-D73))</f>
        <v/>
      </c>
      <c r="F73" s="13">
        <f>MAX(0,C73-E73)</f>
        <v/>
      </c>
    </row>
    <row r="74">
      <c r="A74" s="21" t="n">
        <v>57</v>
      </c>
      <c r="B74" s="33" t="n">
        <v>47727</v>
      </c>
      <c r="C74" s="13">
        <f>F73</f>
        <v/>
      </c>
      <c r="D74" s="13">
        <f>MAX(0,C74*$B$7/12)</f>
        <v/>
      </c>
      <c r="E74" s="13">
        <f>MAX(0,MIN(C74,$B$8-D74))</f>
        <v/>
      </c>
      <c r="F74" s="13">
        <f>MAX(0,C74-E74)</f>
        <v/>
      </c>
    </row>
    <row r="75">
      <c r="A75" s="21" t="n">
        <v>58</v>
      </c>
      <c r="B75" s="33" t="n">
        <v>47757</v>
      </c>
      <c r="C75" s="13">
        <f>F74</f>
        <v/>
      </c>
      <c r="D75" s="13">
        <f>MAX(0,C75*$B$7/12)</f>
        <v/>
      </c>
      <c r="E75" s="13">
        <f>MAX(0,MIN(C75,$B$8-D75))</f>
        <v/>
      </c>
      <c r="F75" s="13">
        <f>MAX(0,C75-E75)</f>
        <v/>
      </c>
    </row>
    <row r="76">
      <c r="A76" s="21" t="n">
        <v>59</v>
      </c>
      <c r="B76" s="33" t="n">
        <v>47788</v>
      </c>
      <c r="C76" s="13">
        <f>F75</f>
        <v/>
      </c>
      <c r="D76" s="13">
        <f>MAX(0,C76*$B$7/12)</f>
        <v/>
      </c>
      <c r="E76" s="13">
        <f>MAX(0,MIN(C76,$B$8-D76))</f>
        <v/>
      </c>
      <c r="F76" s="13">
        <f>MAX(0,C76-E76)</f>
        <v/>
      </c>
    </row>
    <row r="77">
      <c r="A77" s="21" t="n">
        <v>60</v>
      </c>
      <c r="B77" s="33" t="n">
        <v>47818</v>
      </c>
      <c r="C77" s="13">
        <f>F76</f>
        <v/>
      </c>
      <c r="D77" s="13">
        <f>MAX(0,C77*$B$7/12)</f>
        <v/>
      </c>
      <c r="E77" s="13">
        <f>MAX(0,MIN(C77,$B$8-D77))</f>
        <v/>
      </c>
      <c r="F77" s="13">
        <f>MAX(0,C77-E77)</f>
        <v/>
      </c>
    </row>
    <row r="78">
      <c r="A78" s="21" t="n">
        <v>61</v>
      </c>
      <c r="B78" s="33" t="n">
        <v>47849</v>
      </c>
      <c r="C78" s="13">
        <f>F77</f>
        <v/>
      </c>
      <c r="D78" s="13">
        <f>MAX(0,C78*$B$7/12)</f>
        <v/>
      </c>
      <c r="E78" s="13">
        <f>MAX(0,MIN(C78,$B$8-D78))</f>
        <v/>
      </c>
      <c r="F78" s="13">
        <f>MAX(0,C78-E78)</f>
        <v/>
      </c>
    </row>
    <row r="79">
      <c r="A79" s="21" t="n">
        <v>62</v>
      </c>
      <c r="B79" s="33" t="n">
        <v>47880</v>
      </c>
      <c r="C79" s="13">
        <f>F78</f>
        <v/>
      </c>
      <c r="D79" s="13">
        <f>MAX(0,C79*$B$7/12)</f>
        <v/>
      </c>
      <c r="E79" s="13">
        <f>MAX(0,MIN(C79,$B$8-D79))</f>
        <v/>
      </c>
      <c r="F79" s="13">
        <f>MAX(0,C79-E79)</f>
        <v/>
      </c>
    </row>
    <row r="80">
      <c r="A80" s="21" t="n">
        <v>63</v>
      </c>
      <c r="B80" s="33" t="n">
        <v>47908</v>
      </c>
      <c r="C80" s="13">
        <f>F79</f>
        <v/>
      </c>
      <c r="D80" s="13">
        <f>MAX(0,C80*$B$7/12)</f>
        <v/>
      </c>
      <c r="E80" s="13">
        <f>MAX(0,MIN(C80,$B$8-D80))</f>
        <v/>
      </c>
      <c r="F80" s="13">
        <f>MAX(0,C80-E80)</f>
        <v/>
      </c>
    </row>
    <row r="81">
      <c r="A81" s="21" t="n">
        <v>64</v>
      </c>
      <c r="B81" s="33" t="n">
        <v>47939</v>
      </c>
      <c r="C81" s="13">
        <f>F80</f>
        <v/>
      </c>
      <c r="D81" s="13">
        <f>MAX(0,C81*$B$7/12)</f>
        <v/>
      </c>
      <c r="E81" s="13">
        <f>MAX(0,MIN(C81,$B$8-D81))</f>
        <v/>
      </c>
      <c r="F81" s="13">
        <f>MAX(0,C81-E81)</f>
        <v/>
      </c>
    </row>
    <row r="82">
      <c r="A82" s="21" t="n">
        <v>65</v>
      </c>
      <c r="B82" s="33" t="n">
        <v>47969</v>
      </c>
      <c r="C82" s="13">
        <f>F81</f>
        <v/>
      </c>
      <c r="D82" s="13">
        <f>MAX(0,C82*$B$7/12)</f>
        <v/>
      </c>
      <c r="E82" s="13">
        <f>MAX(0,MIN(C82,$B$8-D82))</f>
        <v/>
      </c>
      <c r="F82" s="13">
        <f>MAX(0,C82-E82)</f>
        <v/>
      </c>
    </row>
    <row r="83">
      <c r="A83" s="21" t="n">
        <v>66</v>
      </c>
      <c r="B83" s="33" t="n">
        <v>48000</v>
      </c>
      <c r="C83" s="13">
        <f>F82</f>
        <v/>
      </c>
      <c r="D83" s="13">
        <f>MAX(0,C83*$B$7/12)</f>
        <v/>
      </c>
      <c r="E83" s="13">
        <f>MAX(0,MIN(C83,$B$8-D83))</f>
        <v/>
      </c>
      <c r="F83" s="13">
        <f>MAX(0,C83-E83)</f>
        <v/>
      </c>
    </row>
    <row r="84">
      <c r="A84" s="21" t="n">
        <v>67</v>
      </c>
      <c r="B84" s="33" t="n">
        <v>48030</v>
      </c>
      <c r="C84" s="13">
        <f>F83</f>
        <v/>
      </c>
      <c r="D84" s="13">
        <f>MAX(0,C84*$B$7/12)</f>
        <v/>
      </c>
      <c r="E84" s="13">
        <f>MAX(0,MIN(C84,$B$8-D84))</f>
        <v/>
      </c>
      <c r="F84" s="13">
        <f>MAX(0,C84-E84)</f>
        <v/>
      </c>
    </row>
    <row r="85">
      <c r="A85" s="21" t="n">
        <v>68</v>
      </c>
      <c r="B85" s="33" t="n">
        <v>48061</v>
      </c>
      <c r="C85" s="13">
        <f>F84</f>
        <v/>
      </c>
      <c r="D85" s="13">
        <f>MAX(0,C85*$B$7/12)</f>
        <v/>
      </c>
      <c r="E85" s="13">
        <f>MAX(0,MIN(C85,$B$8-D85))</f>
        <v/>
      </c>
      <c r="F85" s="13">
        <f>MAX(0,C85-E85)</f>
        <v/>
      </c>
    </row>
    <row r="86">
      <c r="A86" s="21" t="n">
        <v>69</v>
      </c>
      <c r="B86" s="33" t="n">
        <v>48092</v>
      </c>
      <c r="C86" s="13">
        <f>F85</f>
        <v/>
      </c>
      <c r="D86" s="13">
        <f>MAX(0,C86*$B$7/12)</f>
        <v/>
      </c>
      <c r="E86" s="13">
        <f>MAX(0,MIN(C86,$B$8-D86))</f>
        <v/>
      </c>
      <c r="F86" s="13">
        <f>MAX(0,C86-E86)</f>
        <v/>
      </c>
    </row>
    <row r="87">
      <c r="A87" s="21" t="n">
        <v>70</v>
      </c>
      <c r="B87" s="33" t="n">
        <v>48122</v>
      </c>
      <c r="C87" s="13">
        <f>F86</f>
        <v/>
      </c>
      <c r="D87" s="13">
        <f>MAX(0,C87*$B$7/12)</f>
        <v/>
      </c>
      <c r="E87" s="13">
        <f>MAX(0,MIN(C87,$B$8-D87))</f>
        <v/>
      </c>
      <c r="F87" s="13">
        <f>MAX(0,C87-E87)</f>
        <v/>
      </c>
    </row>
    <row r="88">
      <c r="A88" s="21" t="n">
        <v>71</v>
      </c>
      <c r="B88" s="33" t="n">
        <v>48153</v>
      </c>
      <c r="C88" s="13">
        <f>F87</f>
        <v/>
      </c>
      <c r="D88" s="13">
        <f>MAX(0,C88*$B$7/12)</f>
        <v/>
      </c>
      <c r="E88" s="13">
        <f>MAX(0,MIN(C88,$B$8-D88))</f>
        <v/>
      </c>
      <c r="F88" s="13">
        <f>MAX(0,C88-E88)</f>
        <v/>
      </c>
    </row>
    <row r="89">
      <c r="A89" s="21" t="n">
        <v>72</v>
      </c>
      <c r="B89" s="33" t="n">
        <v>48183</v>
      </c>
      <c r="C89" s="13">
        <f>F88</f>
        <v/>
      </c>
      <c r="D89" s="13">
        <f>MAX(0,C89*$B$7/12)</f>
        <v/>
      </c>
      <c r="E89" s="13">
        <f>MAX(0,MIN(C89,$B$8-D89))</f>
        <v/>
      </c>
      <c r="F89" s="13">
        <f>MAX(0,C89-E89)</f>
        <v/>
      </c>
    </row>
    <row r="90">
      <c r="A90" s="21" t="n">
        <v>73</v>
      </c>
      <c r="B90" s="33" t="n">
        <v>48214</v>
      </c>
      <c r="C90" s="13">
        <f>F89</f>
        <v/>
      </c>
      <c r="D90" s="13">
        <f>MAX(0,C90*$B$7/12)</f>
        <v/>
      </c>
      <c r="E90" s="13">
        <f>MAX(0,MIN(C90,$B$8-D90))</f>
        <v/>
      </c>
      <c r="F90" s="13">
        <f>MAX(0,C90-E90)</f>
        <v/>
      </c>
    </row>
    <row r="92">
      <c r="A92" s="2" t="inlineStr">
        <is>
          <t>ANNUAL SUMMARY</t>
        </is>
      </c>
    </row>
    <row r="93">
      <c r="A93" s="30" t="inlineStr">
        <is>
          <t>Year</t>
        </is>
      </c>
      <c r="B93" s="30" t="inlineStr"/>
      <c r="C93" s="30" t="inlineStr">
        <is>
          <t>Opening</t>
        </is>
      </c>
      <c r="D93" s="30" t="inlineStr">
        <is>
          <t>Interest</t>
        </is>
      </c>
      <c r="E93" s="30" t="inlineStr">
        <is>
          <t>Principal</t>
        </is>
      </c>
      <c r="F93" s="30" t="inlineStr">
        <is>
          <t>Closing</t>
        </is>
      </c>
    </row>
    <row r="94">
      <c r="A94" s="80" t="n">
        <v>2026</v>
      </c>
      <c r="B94" s="80" t="inlineStr"/>
      <c r="C94" s="81">
        <f>C18</f>
        <v/>
      </c>
      <c r="D94" s="81">
        <f>SUM(D18:D29)</f>
        <v/>
      </c>
      <c r="E94" s="81">
        <f>SUM(E18:E29)</f>
        <v/>
      </c>
      <c r="F94" s="81">
        <f>F29</f>
        <v/>
      </c>
    </row>
    <row r="95">
      <c r="A95" s="80" t="n">
        <v>2027</v>
      </c>
      <c r="B95" s="80" t="inlineStr"/>
      <c r="C95" s="81">
        <f>C30</f>
        <v/>
      </c>
      <c r="D95" s="81">
        <f>SUM(D30:D41)</f>
        <v/>
      </c>
      <c r="E95" s="81">
        <f>SUM(E30:E41)</f>
        <v/>
      </c>
      <c r="F95" s="81">
        <f>F41</f>
        <v/>
      </c>
    </row>
    <row r="96">
      <c r="A96" s="80" t="n">
        <v>2028</v>
      </c>
      <c r="B96" s="80" t="inlineStr"/>
      <c r="C96" s="81">
        <f>C42</f>
        <v/>
      </c>
      <c r="D96" s="81">
        <f>SUM(D42:D53)</f>
        <v/>
      </c>
      <c r="E96" s="81">
        <f>SUM(E42:E53)</f>
        <v/>
      </c>
      <c r="F96" s="81">
        <f>F53</f>
        <v/>
      </c>
    </row>
  </sheetData>
  <mergeCells count="3">
    <mergeCell ref="A92:F92"/>
    <mergeCell ref="A1:F1"/>
    <mergeCell ref="A12:F12"/>
  </mergeCells>
  <pageMargins left="0.75" right="0.75" top="1" bottom="1" header="0.5" footer="0.5"/>
  <legacyDrawing xmlns:r="http://schemas.openxmlformats.org/officeDocument/2006/relationships" r:id="anysvml"/>
</worksheet>
</file>

<file path=xl/worksheets/sheet87.xml><?xml version="1.0" encoding="utf-8"?>
<worksheet xmlns="http://schemas.openxmlformats.org/spreadsheetml/2006/main">
  <sheetPr>
    <tabColor rgb="00808080"/>
    <outlinePr summaryBelow="1" summaryRight="1"/>
    <pageSetUpPr/>
  </sheetPr>
  <dimension ref="A1:F47"/>
  <sheetViews>
    <sheetView workbookViewId="0">
      <selection activeCell="A1" sqref="A1"/>
    </sheetView>
  </sheetViews>
  <sheetFormatPr baseColWidth="8" defaultRowHeight="15"/>
  <cols>
    <col width="18" customWidth="1" min="1" max="1"/>
    <col width="20" customWidth="1" min="2" max="2"/>
    <col width="16" customWidth="1" min="3" max="3"/>
    <col width="14" customWidth="1" min="4" max="4"/>
    <col width="14" customWidth="1" min="5" max="5"/>
    <col width="16" customWidth="1" min="6" max="6"/>
  </cols>
  <sheetData>
    <row r="1">
      <c r="A1" s="2" t="inlineStr">
        <is>
          <t>LOAN DETAILS</t>
        </is>
      </c>
    </row>
    <row r="2">
      <c r="A2" s="1" t="inlineStr">
        <is>
          <t>Lender:</t>
        </is>
      </c>
      <c r="B2" s="4" t="inlineStr">
        <is>
          <t>Signature Bank</t>
        </is>
      </c>
    </row>
    <row r="3">
      <c r="A3" s="1" t="inlineStr">
        <is>
          <t>Description:</t>
        </is>
      </c>
      <c r="B3" s="4" t="inlineStr">
        <is>
          <t>25 Trailers</t>
        </is>
      </c>
    </row>
    <row r="4">
      <c r="A4" s="1" t="inlineStr">
        <is>
          <t>Loan ID:</t>
        </is>
      </c>
      <c r="B4" s="4" t="inlineStr">
        <is>
          <t>05-2981-000-000-00</t>
        </is>
      </c>
    </row>
    <row r="5">
      <c r="A5" s="1" t="inlineStr">
        <is>
          <t>Original Balance:</t>
        </is>
      </c>
      <c r="B5" s="26" t="n">
        <v>966525</v>
      </c>
    </row>
    <row r="6">
      <c r="A6" s="1" t="inlineStr">
        <is>
          <t>Current Balance:</t>
        </is>
      </c>
      <c r="B6" s="26" t="n">
        <v>289089</v>
      </c>
    </row>
    <row r="7">
      <c r="A7" s="1" t="inlineStr">
        <is>
          <t>Annual Rate:</t>
        </is>
      </c>
      <c r="B7" s="6" t="n">
        <v>0.0358</v>
      </c>
    </row>
    <row r="8">
      <c r="A8" s="1" t="inlineStr">
        <is>
          <t>Monthly Payment:</t>
        </is>
      </c>
      <c r="B8" s="26" t="n">
        <v>13061</v>
      </c>
    </row>
    <row r="9">
      <c r="A9" s="1" t="inlineStr">
        <is>
          <t>Maturity Date:</t>
        </is>
      </c>
      <c r="B9" s="52" t="n">
        <v>46696</v>
      </c>
    </row>
    <row r="10">
      <c r="A10" s="1" t="inlineStr">
        <is>
          <t>Loan Type:</t>
        </is>
      </c>
      <c r="B10" s="4" t="inlineStr">
        <is>
          <t>AMORTIZING</t>
        </is>
      </c>
    </row>
    <row r="12">
      <c r="A12" s="8" t="inlineStr">
        <is>
          <t>AI ANALYSIS</t>
        </is>
      </c>
    </row>
    <row r="13">
      <c r="A13" s="1" t="inlineStr">
        <is>
          <t>Classification:</t>
        </is>
      </c>
      <c r="B13" s="9" t="inlineStr">
        <is>
          <t>Standard amortizing equipment loan - Equipment - Trailers</t>
        </is>
      </c>
    </row>
    <row r="14">
      <c r="A14" s="1" t="inlineStr">
        <is>
          <t>Amortization:</t>
        </is>
      </c>
      <c r="B14" s="9" t="inlineStr">
        <is>
          <t>~23 months remaining from 12/31/2025 to maturity</t>
        </is>
      </c>
    </row>
    <row r="15">
      <c r="A15" s="1" t="inlineStr">
        <is>
          <t>Source Doc:</t>
        </is>
      </c>
      <c r="B15" s="9" t="inlineStr">
        <is>
          <t>Meiborg_Debt_Schedule_202512.xlsx</t>
        </is>
      </c>
    </row>
    <row r="17">
      <c r="A17" s="10" t="inlineStr">
        <is>
          <t>Month #</t>
        </is>
      </c>
      <c r="B17" s="10" t="inlineStr">
        <is>
          <t>Date</t>
        </is>
      </c>
      <c r="C17" s="10" t="inlineStr">
        <is>
          <t>Opening Balance</t>
        </is>
      </c>
      <c r="D17" s="10" t="inlineStr">
        <is>
          <t>Interest</t>
        </is>
      </c>
      <c r="E17" s="10" t="inlineStr">
        <is>
          <t>Principal</t>
        </is>
      </c>
      <c r="F17" s="10" t="inlineStr">
        <is>
          <t>Closing Balance</t>
        </is>
      </c>
    </row>
    <row r="18">
      <c r="A18" s="21" t="n">
        <v>1</v>
      </c>
      <c r="B18" s="33" t="n">
        <v>46023</v>
      </c>
      <c r="C18" s="13">
        <f>$B$6</f>
        <v/>
      </c>
      <c r="D18" s="13">
        <f>MAX(0,C18*$B$7/12)</f>
        <v/>
      </c>
      <c r="E18" s="13">
        <f>MAX(0,MIN(C18,$B$8-D18))</f>
        <v/>
      </c>
      <c r="F18" s="13">
        <f>MAX(0,C18-E18)</f>
        <v/>
      </c>
    </row>
    <row r="19">
      <c r="A19" s="21" t="n">
        <v>2</v>
      </c>
      <c r="B19" s="33" t="n">
        <v>46054</v>
      </c>
      <c r="C19" s="13">
        <f>F18</f>
        <v/>
      </c>
      <c r="D19" s="13">
        <f>MAX(0,C19*$B$7/12)</f>
        <v/>
      </c>
      <c r="E19" s="13">
        <f>MAX(0,MIN(C19,$B$8-D19))</f>
        <v/>
      </c>
      <c r="F19" s="13">
        <f>MAX(0,C19-E19)</f>
        <v/>
      </c>
    </row>
    <row r="20">
      <c r="A20" s="21" t="n">
        <v>3</v>
      </c>
      <c r="B20" s="33" t="n">
        <v>46082</v>
      </c>
      <c r="C20" s="13">
        <f>F19</f>
        <v/>
      </c>
      <c r="D20" s="13">
        <f>MAX(0,C20*$B$7/12)</f>
        <v/>
      </c>
      <c r="E20" s="13">
        <f>MAX(0,MIN(C20,$B$8-D20))</f>
        <v/>
      </c>
      <c r="F20" s="13">
        <f>MAX(0,C20-E20)</f>
        <v/>
      </c>
    </row>
    <row r="21">
      <c r="A21" s="21" t="n">
        <v>4</v>
      </c>
      <c r="B21" s="33" t="n">
        <v>46113</v>
      </c>
      <c r="C21" s="13">
        <f>F20</f>
        <v/>
      </c>
      <c r="D21" s="13">
        <f>MAX(0,C21*$B$7/12)</f>
        <v/>
      </c>
      <c r="E21" s="13">
        <f>MAX(0,MIN(C21,$B$8-D21))</f>
        <v/>
      </c>
      <c r="F21" s="13">
        <f>MAX(0,C21-E21)</f>
        <v/>
      </c>
    </row>
    <row r="22">
      <c r="A22" s="21" t="n">
        <v>5</v>
      </c>
      <c r="B22" s="33" t="n">
        <v>46143</v>
      </c>
      <c r="C22" s="13">
        <f>F21</f>
        <v/>
      </c>
      <c r="D22" s="13">
        <f>MAX(0,C22*$B$7/12)</f>
        <v/>
      </c>
      <c r="E22" s="13">
        <f>MAX(0,MIN(C22,$B$8-D22))</f>
        <v/>
      </c>
      <c r="F22" s="13">
        <f>MAX(0,C22-E22)</f>
        <v/>
      </c>
    </row>
    <row r="23">
      <c r="A23" s="21" t="n">
        <v>6</v>
      </c>
      <c r="B23" s="33" t="n">
        <v>46174</v>
      </c>
      <c r="C23" s="13">
        <f>F22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21" t="n">
        <v>7</v>
      </c>
      <c r="B24" s="33" t="n">
        <v>46204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21" t="n">
        <v>8</v>
      </c>
      <c r="B25" s="33" t="n">
        <v>46235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21" t="n">
        <v>9</v>
      </c>
      <c r="B26" s="33" t="n">
        <v>46266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21" t="n">
        <v>10</v>
      </c>
      <c r="B27" s="33" t="n">
        <v>46296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21" t="n">
        <v>11</v>
      </c>
      <c r="B28" s="33" t="n">
        <v>46327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21" t="n">
        <v>12</v>
      </c>
      <c r="B29" s="33" t="n">
        <v>46357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21" t="n">
        <v>13</v>
      </c>
      <c r="B30" s="33" t="n">
        <v>46388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21" t="n">
        <v>14</v>
      </c>
      <c r="B31" s="33" t="n">
        <v>46419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21" t="n">
        <v>15</v>
      </c>
      <c r="B32" s="33" t="n">
        <v>46447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21" t="n">
        <v>16</v>
      </c>
      <c r="B33" s="33" t="n">
        <v>46478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4">
      <c r="A34" s="21" t="n">
        <v>17</v>
      </c>
      <c r="B34" s="33" t="n">
        <v>46508</v>
      </c>
      <c r="C34" s="13">
        <f>F33</f>
        <v/>
      </c>
      <c r="D34" s="13">
        <f>MAX(0,C34*$B$7/12)</f>
        <v/>
      </c>
      <c r="E34" s="13">
        <f>MAX(0,MIN(C34,$B$8-D34))</f>
        <v/>
      </c>
      <c r="F34" s="13">
        <f>MAX(0,C34-E34)</f>
        <v/>
      </c>
    </row>
    <row r="35">
      <c r="A35" s="21" t="n">
        <v>18</v>
      </c>
      <c r="B35" s="33" t="n">
        <v>46539</v>
      </c>
      <c r="C35" s="13">
        <f>F34</f>
        <v/>
      </c>
      <c r="D35" s="13">
        <f>MAX(0,C35*$B$7/12)</f>
        <v/>
      </c>
      <c r="E35" s="13">
        <f>MAX(0,MIN(C35,$B$8-D35))</f>
        <v/>
      </c>
      <c r="F35" s="13">
        <f>MAX(0,C35-E35)</f>
        <v/>
      </c>
    </row>
    <row r="36">
      <c r="A36" s="21" t="n">
        <v>19</v>
      </c>
      <c r="B36" s="33" t="n">
        <v>46569</v>
      </c>
      <c r="C36" s="13">
        <f>F35</f>
        <v/>
      </c>
      <c r="D36" s="13">
        <f>MAX(0,C36*$B$7/12)</f>
        <v/>
      </c>
      <c r="E36" s="13">
        <f>MAX(0,MIN(C36,$B$8-D36))</f>
        <v/>
      </c>
      <c r="F36" s="13">
        <f>MAX(0,C36-E36)</f>
        <v/>
      </c>
    </row>
    <row r="37">
      <c r="A37" s="21" t="n">
        <v>20</v>
      </c>
      <c r="B37" s="33" t="n">
        <v>46600</v>
      </c>
      <c r="C37" s="13">
        <f>F36</f>
        <v/>
      </c>
      <c r="D37" s="13">
        <f>MAX(0,C37*$B$7/12)</f>
        <v/>
      </c>
      <c r="E37" s="13">
        <f>MAX(0,MIN(C37,$B$8-D37))</f>
        <v/>
      </c>
      <c r="F37" s="13">
        <f>MAX(0,C37-E37)</f>
        <v/>
      </c>
    </row>
    <row r="38">
      <c r="A38" s="21" t="n">
        <v>21</v>
      </c>
      <c r="B38" s="33" t="n">
        <v>46631</v>
      </c>
      <c r="C38" s="13">
        <f>F37</f>
        <v/>
      </c>
      <c r="D38" s="13">
        <f>MAX(0,C38*$B$7/12)</f>
        <v/>
      </c>
      <c r="E38" s="13">
        <f>MAX(0,MIN(C38,$B$8-D38))</f>
        <v/>
      </c>
      <c r="F38" s="13">
        <f>MAX(0,C38-E38)</f>
        <v/>
      </c>
    </row>
    <row r="39">
      <c r="A39" s="21" t="n">
        <v>22</v>
      </c>
      <c r="B39" s="33" t="n">
        <v>46661</v>
      </c>
      <c r="C39" s="13">
        <f>F38</f>
        <v/>
      </c>
      <c r="D39" s="13">
        <f>MAX(0,C39*$B$7/12)</f>
        <v/>
      </c>
      <c r="E39" s="13">
        <f>MAX(0,MIN(C39,$B$8-D39))</f>
        <v/>
      </c>
      <c r="F39" s="13">
        <f>MAX(0,C39-E39)</f>
        <v/>
      </c>
    </row>
    <row r="40">
      <c r="A40" s="21" t="n">
        <v>23</v>
      </c>
      <c r="B40" s="33" t="n">
        <v>46692</v>
      </c>
      <c r="C40" s="13">
        <f>F39</f>
        <v/>
      </c>
      <c r="D40" s="13">
        <f>MAX(0,C40*$B$7/12)</f>
        <v/>
      </c>
      <c r="E40" s="13">
        <f>MAX(0,MIN(C40,$B$8-D40))</f>
        <v/>
      </c>
      <c r="F40" s="13">
        <f>MAX(0,C40-E40)</f>
        <v/>
      </c>
    </row>
    <row r="41">
      <c r="A41" s="21" t="n">
        <v>24</v>
      </c>
      <c r="B41" s="33" t="n">
        <v>46722</v>
      </c>
      <c r="C41" s="13">
        <f>F40</f>
        <v/>
      </c>
      <c r="D41" s="13">
        <f>MAX(0,C41*$B$7/12)</f>
        <v/>
      </c>
      <c r="E41" s="13">
        <f>MAX(0,MIN(C41,$B$8-D41))</f>
        <v/>
      </c>
      <c r="F41" s="13">
        <f>MAX(0,C41-E41)</f>
        <v/>
      </c>
    </row>
    <row r="43">
      <c r="A43" s="2" t="inlineStr">
        <is>
          <t>ANNUAL SUMMARY</t>
        </is>
      </c>
    </row>
    <row r="44">
      <c r="A44" s="30" t="inlineStr">
        <is>
          <t>Year</t>
        </is>
      </c>
      <c r="B44" s="30" t="inlineStr"/>
      <c r="C44" s="30" t="inlineStr">
        <is>
          <t>Opening</t>
        </is>
      </c>
      <c r="D44" s="30" t="inlineStr">
        <is>
          <t>Interest</t>
        </is>
      </c>
      <c r="E44" s="30" t="inlineStr">
        <is>
          <t>Principal</t>
        </is>
      </c>
      <c r="F44" s="30" t="inlineStr">
        <is>
          <t>Closing</t>
        </is>
      </c>
    </row>
    <row r="45">
      <c r="A45" s="80" t="n">
        <v>2026</v>
      </c>
      <c r="B45" s="80" t="inlineStr"/>
      <c r="C45" s="81">
        <f>C18</f>
        <v/>
      </c>
      <c r="D45" s="81">
        <f>SUM(D18:D29)</f>
        <v/>
      </c>
      <c r="E45" s="81">
        <f>SUM(E18:E29)</f>
        <v/>
      </c>
      <c r="F45" s="81">
        <f>F29</f>
        <v/>
      </c>
    </row>
    <row r="46">
      <c r="A46" s="80" t="n">
        <v>2027</v>
      </c>
      <c r="B46" s="80" t="inlineStr"/>
      <c r="C46" s="81">
        <f>C30</f>
        <v/>
      </c>
      <c r="D46" s="81">
        <f>SUM(D30:D41)</f>
        <v/>
      </c>
      <c r="E46" s="81">
        <f>SUM(E30:E41)</f>
        <v/>
      </c>
      <c r="F46" s="81">
        <f>F41</f>
        <v/>
      </c>
    </row>
    <row r="47">
      <c r="A47" s="80" t="n">
        <v>2028</v>
      </c>
      <c r="B47" s="80" t="inlineStr">
        <is>
          <t>Loan Matured</t>
        </is>
      </c>
      <c r="C47" s="81" t="n">
        <v>0</v>
      </c>
      <c r="D47" s="81" t="n">
        <v>0</v>
      </c>
      <c r="E47" s="81" t="n">
        <v>0</v>
      </c>
      <c r="F47" s="81" t="n">
        <v>0</v>
      </c>
    </row>
  </sheetData>
  <mergeCells count="3">
    <mergeCell ref="A1:F1"/>
    <mergeCell ref="A12:F12"/>
    <mergeCell ref="A43:F43"/>
  </mergeCells>
  <pageMargins left="0.75" right="0.75" top="1" bottom="1" header="0.5" footer="0.5"/>
  <legacyDrawing xmlns:r="http://schemas.openxmlformats.org/officeDocument/2006/relationships" r:id="anysvml"/>
</worksheet>
</file>

<file path=xl/worksheets/sheet88.xml><?xml version="1.0" encoding="utf-8"?>
<worksheet xmlns="http://schemas.openxmlformats.org/spreadsheetml/2006/main">
  <sheetPr>
    <tabColor rgb="00808080"/>
    <outlinePr summaryBelow="1" summaryRight="1"/>
    <pageSetUpPr/>
  </sheetPr>
  <dimension ref="A1:F47"/>
  <sheetViews>
    <sheetView workbookViewId="0">
      <selection activeCell="A1" sqref="A1"/>
    </sheetView>
  </sheetViews>
  <sheetFormatPr baseColWidth="8" defaultRowHeight="15"/>
  <cols>
    <col width="18" customWidth="1" min="1" max="1"/>
    <col width="20" customWidth="1" min="2" max="2"/>
    <col width="16" customWidth="1" min="3" max="3"/>
    <col width="14" customWidth="1" min="4" max="4"/>
    <col width="14" customWidth="1" min="5" max="5"/>
    <col width="16" customWidth="1" min="6" max="6"/>
  </cols>
  <sheetData>
    <row r="1">
      <c r="A1" s="2" t="inlineStr">
        <is>
          <t>LOAN DETAILS</t>
        </is>
      </c>
    </row>
    <row r="2">
      <c r="A2" s="1" t="inlineStr">
        <is>
          <t>Lender:</t>
        </is>
      </c>
      <c r="B2" s="4" t="inlineStr">
        <is>
          <t>NBH Bank</t>
        </is>
      </c>
    </row>
    <row r="3">
      <c r="A3" s="1" t="inlineStr">
        <is>
          <t>Description:</t>
        </is>
      </c>
      <c r="B3" s="4" t="inlineStr">
        <is>
          <t>25 Trailers</t>
        </is>
      </c>
    </row>
    <row r="4">
      <c r="A4" s="1" t="inlineStr">
        <is>
          <t>Loan ID:</t>
        </is>
      </c>
      <c r="B4" s="4" t="inlineStr">
        <is>
          <t>05-2982-000-000-00</t>
        </is>
      </c>
    </row>
    <row r="5">
      <c r="A5" s="1" t="inlineStr">
        <is>
          <t>Original Balance:</t>
        </is>
      </c>
      <c r="B5" s="26" t="n">
        <v>966475</v>
      </c>
    </row>
    <row r="6">
      <c r="A6" s="1" t="inlineStr">
        <is>
          <t>Current Balance:</t>
        </is>
      </c>
      <c r="B6" s="26" t="n">
        <v>316518</v>
      </c>
    </row>
    <row r="7">
      <c r="A7" s="1" t="inlineStr">
        <is>
          <t>Annual Rate:</t>
        </is>
      </c>
      <c r="B7" s="6" t="n">
        <v>0.036</v>
      </c>
    </row>
    <row r="8">
      <c r="A8" s="1" t="inlineStr">
        <is>
          <t>Monthly Payment:</t>
        </is>
      </c>
      <c r="B8" s="26" t="n">
        <v>13836</v>
      </c>
    </row>
    <row r="9">
      <c r="A9" s="1" t="inlineStr">
        <is>
          <t>Maturity Date:</t>
        </is>
      </c>
      <c r="B9" s="52" t="n">
        <v>46711</v>
      </c>
    </row>
    <row r="10">
      <c r="A10" s="1" t="inlineStr">
        <is>
          <t>Loan Type:</t>
        </is>
      </c>
      <c r="B10" s="4" t="inlineStr">
        <is>
          <t>AMORTIZING</t>
        </is>
      </c>
    </row>
    <row r="12">
      <c r="A12" s="8" t="inlineStr">
        <is>
          <t>AI ANALYSIS</t>
        </is>
      </c>
    </row>
    <row r="13">
      <c r="A13" s="1" t="inlineStr">
        <is>
          <t>Classification:</t>
        </is>
      </c>
      <c r="B13" s="9" t="inlineStr">
        <is>
          <t>Standard amortizing equipment loan - Equipment - Trailers</t>
        </is>
      </c>
    </row>
    <row r="14">
      <c r="A14" s="1" t="inlineStr">
        <is>
          <t>Amortization:</t>
        </is>
      </c>
      <c r="B14" s="9" t="inlineStr">
        <is>
          <t>~23 months remaining from 12/31/2025 to maturity</t>
        </is>
      </c>
    </row>
    <row r="15">
      <c r="A15" s="1" t="inlineStr">
        <is>
          <t>Source Doc:</t>
        </is>
      </c>
      <c r="B15" s="9" t="inlineStr">
        <is>
          <t>Meiborg_Debt_Schedule_202512.xlsx</t>
        </is>
      </c>
    </row>
    <row r="17">
      <c r="A17" s="10" t="inlineStr">
        <is>
          <t>Month #</t>
        </is>
      </c>
      <c r="B17" s="10" t="inlineStr">
        <is>
          <t>Date</t>
        </is>
      </c>
      <c r="C17" s="10" t="inlineStr">
        <is>
          <t>Opening Balance</t>
        </is>
      </c>
      <c r="D17" s="10" t="inlineStr">
        <is>
          <t>Interest</t>
        </is>
      </c>
      <c r="E17" s="10" t="inlineStr">
        <is>
          <t>Principal</t>
        </is>
      </c>
      <c r="F17" s="10" t="inlineStr">
        <is>
          <t>Closing Balance</t>
        </is>
      </c>
    </row>
    <row r="18">
      <c r="A18" s="21" t="n">
        <v>1</v>
      </c>
      <c r="B18" s="33" t="n">
        <v>46023</v>
      </c>
      <c r="C18" s="13">
        <f>$B$6</f>
        <v/>
      </c>
      <c r="D18" s="13">
        <f>MAX(0,C18*$B$7/12)</f>
        <v/>
      </c>
      <c r="E18" s="13">
        <f>MAX(0,MIN(C18,$B$8-D18))</f>
        <v/>
      </c>
      <c r="F18" s="13">
        <f>MAX(0,C18-E18)</f>
        <v/>
      </c>
    </row>
    <row r="19">
      <c r="A19" s="21" t="n">
        <v>2</v>
      </c>
      <c r="B19" s="33" t="n">
        <v>46054</v>
      </c>
      <c r="C19" s="13">
        <f>F18</f>
        <v/>
      </c>
      <c r="D19" s="13">
        <f>MAX(0,C19*$B$7/12)</f>
        <v/>
      </c>
      <c r="E19" s="13">
        <f>MAX(0,MIN(C19,$B$8-D19))</f>
        <v/>
      </c>
      <c r="F19" s="13">
        <f>MAX(0,C19-E19)</f>
        <v/>
      </c>
    </row>
    <row r="20">
      <c r="A20" s="21" t="n">
        <v>3</v>
      </c>
      <c r="B20" s="33" t="n">
        <v>46082</v>
      </c>
      <c r="C20" s="13">
        <f>F19</f>
        <v/>
      </c>
      <c r="D20" s="13">
        <f>MAX(0,C20*$B$7/12)</f>
        <v/>
      </c>
      <c r="E20" s="13">
        <f>MAX(0,MIN(C20,$B$8-D20))</f>
        <v/>
      </c>
      <c r="F20" s="13">
        <f>MAX(0,C20-E20)</f>
        <v/>
      </c>
    </row>
    <row r="21">
      <c r="A21" s="21" t="n">
        <v>4</v>
      </c>
      <c r="B21" s="33" t="n">
        <v>46113</v>
      </c>
      <c r="C21" s="13">
        <f>F20</f>
        <v/>
      </c>
      <c r="D21" s="13">
        <f>MAX(0,C21*$B$7/12)</f>
        <v/>
      </c>
      <c r="E21" s="13">
        <f>MAX(0,MIN(C21,$B$8-D21))</f>
        <v/>
      </c>
      <c r="F21" s="13">
        <f>MAX(0,C21-E21)</f>
        <v/>
      </c>
    </row>
    <row r="22">
      <c r="A22" s="21" t="n">
        <v>5</v>
      </c>
      <c r="B22" s="33" t="n">
        <v>46143</v>
      </c>
      <c r="C22" s="13">
        <f>F21</f>
        <v/>
      </c>
      <c r="D22" s="13">
        <f>MAX(0,C22*$B$7/12)</f>
        <v/>
      </c>
      <c r="E22" s="13">
        <f>MAX(0,MIN(C22,$B$8-D22))</f>
        <v/>
      </c>
      <c r="F22" s="13">
        <f>MAX(0,C22-E22)</f>
        <v/>
      </c>
    </row>
    <row r="23">
      <c r="A23" s="21" t="n">
        <v>6</v>
      </c>
      <c r="B23" s="33" t="n">
        <v>46174</v>
      </c>
      <c r="C23" s="13">
        <f>F22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21" t="n">
        <v>7</v>
      </c>
      <c r="B24" s="33" t="n">
        <v>46204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21" t="n">
        <v>8</v>
      </c>
      <c r="B25" s="33" t="n">
        <v>46235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21" t="n">
        <v>9</v>
      </c>
      <c r="B26" s="33" t="n">
        <v>46266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21" t="n">
        <v>10</v>
      </c>
      <c r="B27" s="33" t="n">
        <v>46296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21" t="n">
        <v>11</v>
      </c>
      <c r="B28" s="33" t="n">
        <v>46327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21" t="n">
        <v>12</v>
      </c>
      <c r="B29" s="33" t="n">
        <v>46357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21" t="n">
        <v>13</v>
      </c>
      <c r="B30" s="33" t="n">
        <v>46388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21" t="n">
        <v>14</v>
      </c>
      <c r="B31" s="33" t="n">
        <v>46419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21" t="n">
        <v>15</v>
      </c>
      <c r="B32" s="33" t="n">
        <v>46447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21" t="n">
        <v>16</v>
      </c>
      <c r="B33" s="33" t="n">
        <v>46478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4">
      <c r="A34" s="21" t="n">
        <v>17</v>
      </c>
      <c r="B34" s="33" t="n">
        <v>46508</v>
      </c>
      <c r="C34" s="13">
        <f>F33</f>
        <v/>
      </c>
      <c r="D34" s="13">
        <f>MAX(0,C34*$B$7/12)</f>
        <v/>
      </c>
      <c r="E34" s="13">
        <f>MAX(0,MIN(C34,$B$8-D34))</f>
        <v/>
      </c>
      <c r="F34" s="13">
        <f>MAX(0,C34-E34)</f>
        <v/>
      </c>
    </row>
    <row r="35">
      <c r="A35" s="21" t="n">
        <v>18</v>
      </c>
      <c r="B35" s="33" t="n">
        <v>46539</v>
      </c>
      <c r="C35" s="13">
        <f>F34</f>
        <v/>
      </c>
      <c r="D35" s="13">
        <f>MAX(0,C35*$B$7/12)</f>
        <v/>
      </c>
      <c r="E35" s="13">
        <f>MAX(0,MIN(C35,$B$8-D35))</f>
        <v/>
      </c>
      <c r="F35" s="13">
        <f>MAX(0,C35-E35)</f>
        <v/>
      </c>
    </row>
    <row r="36">
      <c r="A36" s="21" t="n">
        <v>19</v>
      </c>
      <c r="B36" s="33" t="n">
        <v>46569</v>
      </c>
      <c r="C36" s="13">
        <f>F35</f>
        <v/>
      </c>
      <c r="D36" s="13">
        <f>MAX(0,C36*$B$7/12)</f>
        <v/>
      </c>
      <c r="E36" s="13">
        <f>MAX(0,MIN(C36,$B$8-D36))</f>
        <v/>
      </c>
      <c r="F36" s="13">
        <f>MAX(0,C36-E36)</f>
        <v/>
      </c>
    </row>
    <row r="37">
      <c r="A37" s="21" t="n">
        <v>20</v>
      </c>
      <c r="B37" s="33" t="n">
        <v>46600</v>
      </c>
      <c r="C37" s="13">
        <f>F36</f>
        <v/>
      </c>
      <c r="D37" s="13">
        <f>MAX(0,C37*$B$7/12)</f>
        <v/>
      </c>
      <c r="E37" s="13">
        <f>MAX(0,MIN(C37,$B$8-D37))</f>
        <v/>
      </c>
      <c r="F37" s="13">
        <f>MAX(0,C37-E37)</f>
        <v/>
      </c>
    </row>
    <row r="38">
      <c r="A38" s="21" t="n">
        <v>21</v>
      </c>
      <c r="B38" s="33" t="n">
        <v>46631</v>
      </c>
      <c r="C38" s="13">
        <f>F37</f>
        <v/>
      </c>
      <c r="D38" s="13">
        <f>MAX(0,C38*$B$7/12)</f>
        <v/>
      </c>
      <c r="E38" s="13">
        <f>MAX(0,MIN(C38,$B$8-D38))</f>
        <v/>
      </c>
      <c r="F38" s="13">
        <f>MAX(0,C38-E38)</f>
        <v/>
      </c>
    </row>
    <row r="39">
      <c r="A39" s="21" t="n">
        <v>22</v>
      </c>
      <c r="B39" s="33" t="n">
        <v>46661</v>
      </c>
      <c r="C39" s="13">
        <f>F38</f>
        <v/>
      </c>
      <c r="D39" s="13">
        <f>MAX(0,C39*$B$7/12)</f>
        <v/>
      </c>
      <c r="E39" s="13">
        <f>MAX(0,MIN(C39,$B$8-D39))</f>
        <v/>
      </c>
      <c r="F39" s="13">
        <f>MAX(0,C39-E39)</f>
        <v/>
      </c>
    </row>
    <row r="40">
      <c r="A40" s="21" t="n">
        <v>23</v>
      </c>
      <c r="B40" s="33" t="n">
        <v>46692</v>
      </c>
      <c r="C40" s="13">
        <f>F39</f>
        <v/>
      </c>
      <c r="D40" s="13">
        <f>MAX(0,C40*$B$7/12)</f>
        <v/>
      </c>
      <c r="E40" s="13">
        <f>MAX(0,MIN(C40,$B$8-D40))</f>
        <v/>
      </c>
      <c r="F40" s="13">
        <f>MAX(0,C40-E40)</f>
        <v/>
      </c>
    </row>
    <row r="41">
      <c r="A41" s="21" t="n">
        <v>24</v>
      </c>
      <c r="B41" s="33" t="n">
        <v>46722</v>
      </c>
      <c r="C41" s="13">
        <f>F40</f>
        <v/>
      </c>
      <c r="D41" s="13">
        <f>MAX(0,C41*$B$7/12)</f>
        <v/>
      </c>
      <c r="E41" s="13">
        <f>MAX(0,MIN(C41,$B$8-D41))</f>
        <v/>
      </c>
      <c r="F41" s="13">
        <f>MAX(0,C41-E41)</f>
        <v/>
      </c>
    </row>
    <row r="43">
      <c r="A43" s="2" t="inlineStr">
        <is>
          <t>ANNUAL SUMMARY</t>
        </is>
      </c>
    </row>
    <row r="44">
      <c r="A44" s="30" t="inlineStr">
        <is>
          <t>Year</t>
        </is>
      </c>
      <c r="B44" s="30" t="inlineStr"/>
      <c r="C44" s="30" t="inlineStr">
        <is>
          <t>Opening</t>
        </is>
      </c>
      <c r="D44" s="30" t="inlineStr">
        <is>
          <t>Interest</t>
        </is>
      </c>
      <c r="E44" s="30" t="inlineStr">
        <is>
          <t>Principal</t>
        </is>
      </c>
      <c r="F44" s="30" t="inlineStr">
        <is>
          <t>Closing</t>
        </is>
      </c>
    </row>
    <row r="45">
      <c r="A45" s="80" t="n">
        <v>2026</v>
      </c>
      <c r="B45" s="80" t="inlineStr"/>
      <c r="C45" s="81">
        <f>C18</f>
        <v/>
      </c>
      <c r="D45" s="81">
        <f>SUM(D18:D29)</f>
        <v/>
      </c>
      <c r="E45" s="81">
        <f>SUM(E18:E29)</f>
        <v/>
      </c>
      <c r="F45" s="81">
        <f>F29</f>
        <v/>
      </c>
    </row>
    <row r="46">
      <c r="A46" s="80" t="n">
        <v>2027</v>
      </c>
      <c r="B46" s="80" t="inlineStr"/>
      <c r="C46" s="81">
        <f>C30</f>
        <v/>
      </c>
      <c r="D46" s="81">
        <f>SUM(D30:D41)</f>
        <v/>
      </c>
      <c r="E46" s="81">
        <f>SUM(E30:E41)</f>
        <v/>
      </c>
      <c r="F46" s="81">
        <f>F41</f>
        <v/>
      </c>
    </row>
    <row r="47">
      <c r="A47" s="80" t="n">
        <v>2028</v>
      </c>
      <c r="B47" s="80" t="inlineStr">
        <is>
          <t>Loan Matured</t>
        </is>
      </c>
      <c r="C47" s="81" t="n">
        <v>0</v>
      </c>
      <c r="D47" s="81" t="n">
        <v>0</v>
      </c>
      <c r="E47" s="81" t="n">
        <v>0</v>
      </c>
      <c r="F47" s="81" t="n">
        <v>0</v>
      </c>
    </row>
  </sheetData>
  <mergeCells count="3">
    <mergeCell ref="A1:F1"/>
    <mergeCell ref="A12:F12"/>
    <mergeCell ref="A43:F43"/>
  </mergeCells>
  <pageMargins left="0.75" right="0.75" top="1" bottom="1" header="0.5" footer="0.5"/>
  <legacyDrawing xmlns:r="http://schemas.openxmlformats.org/officeDocument/2006/relationships" r:id="anysvml"/>
</worksheet>
</file>

<file path=xl/worksheets/sheet89.xml><?xml version="1.0" encoding="utf-8"?>
<worksheet xmlns="http://schemas.openxmlformats.org/spreadsheetml/2006/main">
  <sheetPr>
    <tabColor rgb="00808080"/>
    <outlinePr summaryBelow="1" summaryRight="1"/>
    <pageSetUpPr/>
  </sheetPr>
  <dimension ref="A1:F51"/>
  <sheetViews>
    <sheetView workbookViewId="0">
      <selection activeCell="A1" sqref="A1"/>
    </sheetView>
  </sheetViews>
  <sheetFormatPr baseColWidth="8" defaultRowHeight="15"/>
  <cols>
    <col width="18" customWidth="1" min="1" max="1"/>
    <col width="20" customWidth="1" min="2" max="2"/>
    <col width="16" customWidth="1" min="3" max="3"/>
    <col width="14" customWidth="1" min="4" max="4"/>
    <col width="14" customWidth="1" min="5" max="5"/>
    <col width="16" customWidth="1" min="6" max="6"/>
  </cols>
  <sheetData>
    <row r="1">
      <c r="A1" s="2" t="inlineStr">
        <is>
          <t>LOAN DETAILS</t>
        </is>
      </c>
    </row>
    <row r="2">
      <c r="A2" s="1" t="inlineStr">
        <is>
          <t>Lender:</t>
        </is>
      </c>
      <c r="B2" s="4" t="inlineStr">
        <is>
          <t>Peoples Bank (M&amp;T)</t>
        </is>
      </c>
    </row>
    <row r="3">
      <c r="A3" s="1" t="inlineStr">
        <is>
          <t>Description:</t>
        </is>
      </c>
      <c r="B3" s="4" t="inlineStr">
        <is>
          <t>25 Trailers</t>
        </is>
      </c>
    </row>
    <row r="4">
      <c r="A4" s="1" t="inlineStr">
        <is>
          <t>Loan ID:</t>
        </is>
      </c>
      <c r="B4" s="4" t="inlineStr">
        <is>
          <t>05-2983-000-000-00</t>
        </is>
      </c>
    </row>
    <row r="5">
      <c r="A5" s="1" t="inlineStr">
        <is>
          <t>Original Balance:</t>
        </is>
      </c>
      <c r="B5" s="26" t="n">
        <v>966175</v>
      </c>
    </row>
    <row r="6">
      <c r="A6" s="1" t="inlineStr">
        <is>
          <t>Current Balance:</t>
        </is>
      </c>
      <c r="B6" s="26" t="n">
        <v>335970</v>
      </c>
    </row>
    <row r="7">
      <c r="A7" s="1" t="inlineStr">
        <is>
          <t>Annual Rate:</t>
        </is>
      </c>
      <c r="B7" s="6" t="n">
        <v>0.034</v>
      </c>
    </row>
    <row r="8">
      <c r="A8" s="1" t="inlineStr">
        <is>
          <t>Monthly Payment:</t>
        </is>
      </c>
      <c r="B8" s="26" t="n">
        <v>12941</v>
      </c>
    </row>
    <row r="9">
      <c r="A9" s="1" t="inlineStr">
        <is>
          <t>Maturity Date:</t>
        </is>
      </c>
      <c r="B9" s="52" t="n">
        <v>46841</v>
      </c>
    </row>
    <row r="10">
      <c r="A10" s="1" t="inlineStr">
        <is>
          <t>Loan Type:</t>
        </is>
      </c>
      <c r="B10" s="4" t="inlineStr">
        <is>
          <t>AMORTIZING</t>
        </is>
      </c>
    </row>
    <row r="12">
      <c r="A12" s="8" t="inlineStr">
        <is>
          <t>AI ANALYSIS</t>
        </is>
      </c>
    </row>
    <row r="13">
      <c r="A13" s="1" t="inlineStr">
        <is>
          <t>Classification:</t>
        </is>
      </c>
      <c r="B13" s="9" t="inlineStr">
        <is>
          <t>Standard amortizing equipment loan - Equipment - Trailers</t>
        </is>
      </c>
    </row>
    <row r="14">
      <c r="A14" s="1" t="inlineStr">
        <is>
          <t>Amortization:</t>
        </is>
      </c>
      <c r="B14" s="9" t="inlineStr">
        <is>
          <t>~27 months remaining from 12/31/2025 to maturity</t>
        </is>
      </c>
    </row>
    <row r="15">
      <c r="A15" s="1" t="inlineStr">
        <is>
          <t>Source Doc:</t>
        </is>
      </c>
      <c r="B15" s="9" t="inlineStr">
        <is>
          <t>Meiborg_Debt_Schedule_202512.xlsx</t>
        </is>
      </c>
    </row>
    <row r="17">
      <c r="A17" s="10" t="inlineStr">
        <is>
          <t>Month #</t>
        </is>
      </c>
      <c r="B17" s="10" t="inlineStr">
        <is>
          <t>Date</t>
        </is>
      </c>
      <c r="C17" s="10" t="inlineStr">
        <is>
          <t>Opening Balance</t>
        </is>
      </c>
      <c r="D17" s="10" t="inlineStr">
        <is>
          <t>Interest</t>
        </is>
      </c>
      <c r="E17" s="10" t="inlineStr">
        <is>
          <t>Principal</t>
        </is>
      </c>
      <c r="F17" s="10" t="inlineStr">
        <is>
          <t>Closing Balance</t>
        </is>
      </c>
    </row>
    <row r="18">
      <c r="A18" s="21" t="n">
        <v>1</v>
      </c>
      <c r="B18" s="33" t="n">
        <v>46023</v>
      </c>
      <c r="C18" s="13">
        <f>$B$6</f>
        <v/>
      </c>
      <c r="D18" s="13">
        <f>MAX(0,C18*$B$7/12)</f>
        <v/>
      </c>
      <c r="E18" s="13">
        <f>MAX(0,MIN(C18,$B$8-D18))</f>
        <v/>
      </c>
      <c r="F18" s="13">
        <f>MAX(0,C18-E18)</f>
        <v/>
      </c>
    </row>
    <row r="19">
      <c r="A19" s="21" t="n">
        <v>2</v>
      </c>
      <c r="B19" s="33" t="n">
        <v>46054</v>
      </c>
      <c r="C19" s="13">
        <f>F18</f>
        <v/>
      </c>
      <c r="D19" s="13">
        <f>MAX(0,C19*$B$7/12)</f>
        <v/>
      </c>
      <c r="E19" s="13">
        <f>MAX(0,MIN(C19,$B$8-D19))</f>
        <v/>
      </c>
      <c r="F19" s="13">
        <f>MAX(0,C19-E19)</f>
        <v/>
      </c>
    </row>
    <row r="20">
      <c r="A20" s="21" t="n">
        <v>3</v>
      </c>
      <c r="B20" s="33" t="n">
        <v>46082</v>
      </c>
      <c r="C20" s="13">
        <f>F19</f>
        <v/>
      </c>
      <c r="D20" s="13">
        <f>MAX(0,C20*$B$7/12)</f>
        <v/>
      </c>
      <c r="E20" s="13">
        <f>MAX(0,MIN(C20,$B$8-D20))</f>
        <v/>
      </c>
      <c r="F20" s="13">
        <f>MAX(0,C20-E20)</f>
        <v/>
      </c>
    </row>
    <row r="21">
      <c r="A21" s="21" t="n">
        <v>4</v>
      </c>
      <c r="B21" s="33" t="n">
        <v>46113</v>
      </c>
      <c r="C21" s="13">
        <f>F20</f>
        <v/>
      </c>
      <c r="D21" s="13">
        <f>MAX(0,C21*$B$7/12)</f>
        <v/>
      </c>
      <c r="E21" s="13">
        <f>MAX(0,MIN(C21,$B$8-D21))</f>
        <v/>
      </c>
      <c r="F21" s="13">
        <f>MAX(0,C21-E21)</f>
        <v/>
      </c>
    </row>
    <row r="22">
      <c r="A22" s="21" t="n">
        <v>5</v>
      </c>
      <c r="B22" s="33" t="n">
        <v>46143</v>
      </c>
      <c r="C22" s="13">
        <f>F21</f>
        <v/>
      </c>
      <c r="D22" s="13">
        <f>MAX(0,C22*$B$7/12)</f>
        <v/>
      </c>
      <c r="E22" s="13">
        <f>MAX(0,MIN(C22,$B$8-D22))</f>
        <v/>
      </c>
      <c r="F22" s="13">
        <f>MAX(0,C22-E22)</f>
        <v/>
      </c>
    </row>
    <row r="23">
      <c r="A23" s="21" t="n">
        <v>6</v>
      </c>
      <c r="B23" s="33" t="n">
        <v>46174</v>
      </c>
      <c r="C23" s="13">
        <f>F22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21" t="n">
        <v>7</v>
      </c>
      <c r="B24" s="33" t="n">
        <v>46204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21" t="n">
        <v>8</v>
      </c>
      <c r="B25" s="33" t="n">
        <v>46235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21" t="n">
        <v>9</v>
      </c>
      <c r="B26" s="33" t="n">
        <v>46266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21" t="n">
        <v>10</v>
      </c>
      <c r="B27" s="33" t="n">
        <v>46296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21" t="n">
        <v>11</v>
      </c>
      <c r="B28" s="33" t="n">
        <v>46327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21" t="n">
        <v>12</v>
      </c>
      <c r="B29" s="33" t="n">
        <v>46357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21" t="n">
        <v>13</v>
      </c>
      <c r="B30" s="33" t="n">
        <v>46388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21" t="n">
        <v>14</v>
      </c>
      <c r="B31" s="33" t="n">
        <v>46419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21" t="n">
        <v>15</v>
      </c>
      <c r="B32" s="33" t="n">
        <v>46447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21" t="n">
        <v>16</v>
      </c>
      <c r="B33" s="33" t="n">
        <v>46478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4">
      <c r="A34" s="21" t="n">
        <v>17</v>
      </c>
      <c r="B34" s="33" t="n">
        <v>46508</v>
      </c>
      <c r="C34" s="13">
        <f>F33</f>
        <v/>
      </c>
      <c r="D34" s="13">
        <f>MAX(0,C34*$B$7/12)</f>
        <v/>
      </c>
      <c r="E34" s="13">
        <f>MAX(0,MIN(C34,$B$8-D34))</f>
        <v/>
      </c>
      <c r="F34" s="13">
        <f>MAX(0,C34-E34)</f>
        <v/>
      </c>
    </row>
    <row r="35">
      <c r="A35" s="21" t="n">
        <v>18</v>
      </c>
      <c r="B35" s="33" t="n">
        <v>46539</v>
      </c>
      <c r="C35" s="13">
        <f>F34</f>
        <v/>
      </c>
      <c r="D35" s="13">
        <f>MAX(0,C35*$B$7/12)</f>
        <v/>
      </c>
      <c r="E35" s="13">
        <f>MAX(0,MIN(C35,$B$8-D35))</f>
        <v/>
      </c>
      <c r="F35" s="13">
        <f>MAX(0,C35-E35)</f>
        <v/>
      </c>
    </row>
    <row r="36">
      <c r="A36" s="21" t="n">
        <v>19</v>
      </c>
      <c r="B36" s="33" t="n">
        <v>46569</v>
      </c>
      <c r="C36" s="13">
        <f>F35</f>
        <v/>
      </c>
      <c r="D36" s="13">
        <f>MAX(0,C36*$B$7/12)</f>
        <v/>
      </c>
      <c r="E36" s="13">
        <f>MAX(0,MIN(C36,$B$8-D36))</f>
        <v/>
      </c>
      <c r="F36" s="13">
        <f>MAX(0,C36-E36)</f>
        <v/>
      </c>
    </row>
    <row r="37">
      <c r="A37" s="21" t="n">
        <v>20</v>
      </c>
      <c r="B37" s="33" t="n">
        <v>46600</v>
      </c>
      <c r="C37" s="13">
        <f>F36</f>
        <v/>
      </c>
      <c r="D37" s="13">
        <f>MAX(0,C37*$B$7/12)</f>
        <v/>
      </c>
      <c r="E37" s="13">
        <f>MAX(0,MIN(C37,$B$8-D37))</f>
        <v/>
      </c>
      <c r="F37" s="13">
        <f>MAX(0,C37-E37)</f>
        <v/>
      </c>
    </row>
    <row r="38">
      <c r="A38" s="21" t="n">
        <v>21</v>
      </c>
      <c r="B38" s="33" t="n">
        <v>46631</v>
      </c>
      <c r="C38" s="13">
        <f>F37</f>
        <v/>
      </c>
      <c r="D38" s="13">
        <f>MAX(0,C38*$B$7/12)</f>
        <v/>
      </c>
      <c r="E38" s="13">
        <f>MAX(0,MIN(C38,$B$8-D38))</f>
        <v/>
      </c>
      <c r="F38" s="13">
        <f>MAX(0,C38-E38)</f>
        <v/>
      </c>
    </row>
    <row r="39">
      <c r="A39" s="21" t="n">
        <v>22</v>
      </c>
      <c r="B39" s="33" t="n">
        <v>46661</v>
      </c>
      <c r="C39" s="13">
        <f>F38</f>
        <v/>
      </c>
      <c r="D39" s="13">
        <f>MAX(0,C39*$B$7/12)</f>
        <v/>
      </c>
      <c r="E39" s="13">
        <f>MAX(0,MIN(C39,$B$8-D39))</f>
        <v/>
      </c>
      <c r="F39" s="13">
        <f>MAX(0,C39-E39)</f>
        <v/>
      </c>
    </row>
    <row r="40">
      <c r="A40" s="21" t="n">
        <v>23</v>
      </c>
      <c r="B40" s="33" t="n">
        <v>46692</v>
      </c>
      <c r="C40" s="13">
        <f>F39</f>
        <v/>
      </c>
      <c r="D40" s="13">
        <f>MAX(0,C40*$B$7/12)</f>
        <v/>
      </c>
      <c r="E40" s="13">
        <f>MAX(0,MIN(C40,$B$8-D40))</f>
        <v/>
      </c>
      <c r="F40" s="13">
        <f>MAX(0,C40-E40)</f>
        <v/>
      </c>
    </row>
    <row r="41">
      <c r="A41" s="21" t="n">
        <v>24</v>
      </c>
      <c r="B41" s="33" t="n">
        <v>46722</v>
      </c>
      <c r="C41" s="13">
        <f>F40</f>
        <v/>
      </c>
      <c r="D41" s="13">
        <f>MAX(0,C41*$B$7/12)</f>
        <v/>
      </c>
      <c r="E41" s="13">
        <f>MAX(0,MIN(C41,$B$8-D41))</f>
        <v/>
      </c>
      <c r="F41" s="13">
        <f>MAX(0,C41-E41)</f>
        <v/>
      </c>
    </row>
    <row r="42">
      <c r="A42" s="21" t="n">
        <v>25</v>
      </c>
      <c r="B42" s="33" t="n">
        <v>46753</v>
      </c>
      <c r="C42" s="13">
        <f>F41</f>
        <v/>
      </c>
      <c r="D42" s="13">
        <f>MAX(0,C42*$B$7/12)</f>
        <v/>
      </c>
      <c r="E42" s="13">
        <f>MAX(0,MIN(C42,$B$8-D42))</f>
        <v/>
      </c>
      <c r="F42" s="13">
        <f>MAX(0,C42-E42)</f>
        <v/>
      </c>
    </row>
    <row r="43">
      <c r="A43" s="21" t="n">
        <v>26</v>
      </c>
      <c r="B43" s="33" t="n">
        <v>46784</v>
      </c>
      <c r="C43" s="13">
        <f>F42</f>
        <v/>
      </c>
      <c r="D43" s="13">
        <f>MAX(0,C43*$B$7/12)</f>
        <v/>
      </c>
      <c r="E43" s="13">
        <f>MAX(0,MIN(C43,$B$8-D43))</f>
        <v/>
      </c>
      <c r="F43" s="13">
        <f>MAX(0,C43-E43)</f>
        <v/>
      </c>
    </row>
    <row r="44">
      <c r="A44" s="21" t="n">
        <v>27</v>
      </c>
      <c r="B44" s="33" t="n">
        <v>46813</v>
      </c>
      <c r="C44" s="13">
        <f>F43</f>
        <v/>
      </c>
      <c r="D44" s="13">
        <f>MAX(0,C44*$B$7/12)</f>
        <v/>
      </c>
      <c r="E44" s="13">
        <f>MAX(0,MIN(C44,$B$8-D44))</f>
        <v/>
      </c>
      <c r="F44" s="13">
        <f>MAX(0,C44-E44)</f>
        <v/>
      </c>
    </row>
    <row r="45">
      <c r="A45" s="21" t="n">
        <v>28</v>
      </c>
      <c r="B45" s="33" t="n">
        <v>46844</v>
      </c>
      <c r="C45" s="13">
        <f>F44</f>
        <v/>
      </c>
      <c r="D45" s="13">
        <f>MAX(0,C45*$B$7/12)</f>
        <v/>
      </c>
      <c r="E45" s="13">
        <f>MAX(0,MIN(C45,$B$8-D45))</f>
        <v/>
      </c>
      <c r="F45" s="13">
        <f>MAX(0,C45-E45)</f>
        <v/>
      </c>
    </row>
    <row r="47">
      <c r="A47" s="2" t="inlineStr">
        <is>
          <t>ANNUAL SUMMARY</t>
        </is>
      </c>
    </row>
    <row r="48">
      <c r="A48" s="30" t="inlineStr">
        <is>
          <t>Year</t>
        </is>
      </c>
      <c r="B48" s="30" t="inlineStr"/>
      <c r="C48" s="30" t="inlineStr">
        <is>
          <t>Opening</t>
        </is>
      </c>
      <c r="D48" s="30" t="inlineStr">
        <is>
          <t>Interest</t>
        </is>
      </c>
      <c r="E48" s="30" t="inlineStr">
        <is>
          <t>Principal</t>
        </is>
      </c>
      <c r="F48" s="30" t="inlineStr">
        <is>
          <t>Closing</t>
        </is>
      </c>
    </row>
    <row r="49">
      <c r="A49" s="80" t="n">
        <v>2026</v>
      </c>
      <c r="B49" s="80" t="inlineStr"/>
      <c r="C49" s="81">
        <f>C18</f>
        <v/>
      </c>
      <c r="D49" s="81">
        <f>SUM(D18:D29)</f>
        <v/>
      </c>
      <c r="E49" s="81">
        <f>SUM(E18:E29)</f>
        <v/>
      </c>
      <c r="F49" s="81">
        <f>F29</f>
        <v/>
      </c>
    </row>
    <row r="50">
      <c r="A50" s="80" t="n">
        <v>2027</v>
      </c>
      <c r="B50" s="80" t="inlineStr"/>
      <c r="C50" s="81">
        <f>C30</f>
        <v/>
      </c>
      <c r="D50" s="81">
        <f>SUM(D30:D41)</f>
        <v/>
      </c>
      <c r="E50" s="81">
        <f>SUM(E30:E41)</f>
        <v/>
      </c>
      <c r="F50" s="81">
        <f>F41</f>
        <v/>
      </c>
    </row>
    <row r="51">
      <c r="A51" s="80" t="n">
        <v>2028</v>
      </c>
      <c r="B51" s="80" t="inlineStr"/>
      <c r="C51" s="81">
        <f>C42</f>
        <v/>
      </c>
      <c r="D51" s="81">
        <f>SUM(D42:D45)</f>
        <v/>
      </c>
      <c r="E51" s="81">
        <f>SUM(E42:E45)</f>
        <v/>
      </c>
      <c r="F51" s="81">
        <f>F45</f>
        <v/>
      </c>
    </row>
  </sheetData>
  <mergeCells count="3">
    <mergeCell ref="A1:F1"/>
    <mergeCell ref="A12:F12"/>
    <mergeCell ref="A47:F47"/>
  </mergeCells>
  <pageMargins left="0.75" right="0.75" top="1" bottom="1" header="0.5" footer="0.5"/>
  <legacyDrawing xmlns:r="http://schemas.openxmlformats.org/officeDocument/2006/relationships" r:id="anysvml"/>
</worksheet>
</file>

<file path=xl/worksheets/sheet9.xml><?xml version="1.0" encoding="utf-8"?>
<worksheet xmlns="http://schemas.openxmlformats.org/spreadsheetml/2006/main">
  <sheetPr>
    <tabColor rgb="00808080"/>
    <outlinePr summaryBelow="1" summaryRight="1"/>
    <pageSetUpPr/>
  </sheetPr>
  <dimension ref="A1:F75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2" t="inlineStr">
        <is>
          <t>LOAN DETAILS</t>
        </is>
      </c>
      <c r="B1" s="3" t="n"/>
      <c r="C1" s="3" t="n"/>
      <c r="D1" s="3" t="n"/>
      <c r="E1" s="3" t="n"/>
      <c r="F1" s="3" t="n"/>
    </row>
    <row r="2">
      <c r="A2" t="inlineStr">
        <is>
          <t>Lender</t>
        </is>
      </c>
      <c r="B2" s="4" t="inlineStr">
        <is>
          <t>Webster Capital Finance</t>
        </is>
      </c>
    </row>
    <row r="3">
      <c r="A3" t="inlineStr">
        <is>
          <t>Loan ID</t>
        </is>
      </c>
      <c r="B3" s="4" t="inlineStr">
        <is>
          <t>05-2939-003-000-00</t>
        </is>
      </c>
    </row>
    <row r="4">
      <c r="A4" t="inlineStr">
        <is>
          <t>Description</t>
        </is>
      </c>
      <c r="B4" s="4" t="inlineStr">
        <is>
          <t>30 Trailers</t>
        </is>
      </c>
    </row>
    <row r="5">
      <c r="A5" t="inlineStr">
        <is>
          <t>Collateral</t>
        </is>
      </c>
      <c r="B5" s="4" t="inlineStr">
        <is>
          <t>Equipment - Trailers</t>
        </is>
      </c>
    </row>
    <row r="6">
      <c r="A6" t="inlineStr">
        <is>
          <t>Current Balance</t>
        </is>
      </c>
      <c r="B6" s="5" t="n">
        <v>1155878</v>
      </c>
    </row>
    <row r="7">
      <c r="A7" t="inlineStr">
        <is>
          <t>Annual Rate</t>
        </is>
      </c>
      <c r="B7" s="6" t="n">
        <v>0.0437</v>
      </c>
    </row>
    <row r="8">
      <c r="A8" t="inlineStr">
        <is>
          <t>Monthly Payment</t>
        </is>
      </c>
      <c r="B8" s="5" t="n">
        <v>27901</v>
      </c>
    </row>
    <row r="9">
      <c r="A9" t="inlineStr">
        <is>
          <t>Maturity Date</t>
        </is>
      </c>
      <c r="B9" s="17" t="n">
        <v>47376</v>
      </c>
    </row>
    <row r="10">
      <c r="A10" t="inlineStr">
        <is>
          <t>Loan Type</t>
        </is>
      </c>
      <c r="B10" s="4" t="inlineStr">
        <is>
          <t>AMORTIZING</t>
        </is>
      </c>
    </row>
    <row r="12">
      <c r="A12" s="8" t="inlineStr">
        <is>
          <t>AI ANALYSIS</t>
        </is>
      </c>
      <c r="B12" s="9" t="n"/>
      <c r="C12" s="9" t="n"/>
      <c r="D12" s="9" t="n"/>
      <c r="E12" s="9" t="n"/>
      <c r="F12" s="9" t="n"/>
    </row>
    <row r="13">
      <c r="A13" s="9" t="inlineStr">
        <is>
          <t>Loan Type:</t>
        </is>
      </c>
      <c r="B13" s="9" t="inlineStr">
        <is>
          <t>Standard amortizing equipment loan</t>
        </is>
      </c>
    </row>
    <row r="14">
      <c r="A14" s="9" t="inlineStr">
        <is>
          <t>Classification:</t>
        </is>
      </c>
      <c r="B14" s="9" t="inlineStr">
        <is>
          <t>Equipment - Trailers</t>
        </is>
      </c>
    </row>
    <row r="15">
      <c r="A15" s="9" t="inlineStr">
        <is>
          <t>Amortization:</t>
        </is>
      </c>
      <c r="B15" s="9" t="inlineStr">
        <is>
          <t>Fully amortizing, fixed monthly payments</t>
        </is>
      </c>
    </row>
    <row r="16">
      <c r="A16" s="9" t="inlineStr">
        <is>
          <t>Source Doc:</t>
        </is>
      </c>
      <c r="B16" s="9" t="inlineStr">
        <is>
          <t>Meiborg_Debt_Schedule_202512.xlsx, loans.md</t>
        </is>
      </c>
    </row>
    <row r="17">
      <c r="A17" s="9" t="inlineStr">
        <is>
          <t>Months Remaining:</t>
        </is>
      </c>
      <c r="B17" s="9" t="n">
        <v>45</v>
      </c>
    </row>
    <row r="18">
      <c r="A18" s="9" t="inlineStr">
        <is>
          <t>Model Start:</t>
        </is>
      </c>
      <c r="B18" s="9" t="inlineStr">
        <is>
          <t>January 2026 (balance as of 12/31/2025)</t>
        </is>
      </c>
    </row>
    <row r="19">
      <c r="A19" s="9" t="n"/>
      <c r="B19" s="9" t="n"/>
      <c r="C19" s="9" t="n"/>
      <c r="D19" s="9" t="n"/>
      <c r="E19" s="9" t="n"/>
      <c r="F19" s="9" t="n"/>
    </row>
    <row r="20">
      <c r="A20" s="9" t="n"/>
      <c r="B20" s="9" t="n"/>
      <c r="C20" s="9" t="n"/>
      <c r="D20" s="9" t="n"/>
      <c r="E20" s="9" t="n"/>
      <c r="F20" s="9" t="n"/>
    </row>
    <row r="22">
      <c r="A22" s="10" t="inlineStr">
        <is>
          <t>Month #</t>
        </is>
      </c>
      <c r="B22" s="10" t="inlineStr">
        <is>
          <t>Date</t>
        </is>
      </c>
      <c r="C22" s="10" t="inlineStr">
        <is>
          <t>Opening Balance</t>
        </is>
      </c>
      <c r="D22" s="10" t="inlineStr">
        <is>
          <t>Interest</t>
        </is>
      </c>
      <c r="E22" s="10" t="inlineStr">
        <is>
          <t>Principal</t>
        </is>
      </c>
      <c r="F22" s="10" t="inlineStr">
        <is>
          <t>Closing Balance</t>
        </is>
      </c>
    </row>
    <row r="23">
      <c r="A23" s="11" t="n">
        <v>1</v>
      </c>
      <c r="B23" s="18" t="n">
        <v>46023</v>
      </c>
      <c r="C23" s="13">
        <f>$B$6</f>
        <v/>
      </c>
      <c r="D23" s="13">
        <f>MAX(0,C23*$B$7/12)</f>
        <v/>
      </c>
      <c r="E23" s="13">
        <f>MAX(0,MIN(C23,$B$8-D23))</f>
        <v/>
      </c>
      <c r="F23" s="13">
        <f>MAX(0,C23-E23)</f>
        <v/>
      </c>
    </row>
    <row r="24">
      <c r="A24" s="11" t="n">
        <v>2</v>
      </c>
      <c r="B24" s="18" t="n">
        <v>46054</v>
      </c>
      <c r="C24" s="13">
        <f>F23</f>
        <v/>
      </c>
      <c r="D24" s="13">
        <f>MAX(0,C24*$B$7/12)</f>
        <v/>
      </c>
      <c r="E24" s="13">
        <f>MAX(0,MIN(C24,$B$8-D24))</f>
        <v/>
      </c>
      <c r="F24" s="13">
        <f>MAX(0,C24-E24)</f>
        <v/>
      </c>
    </row>
    <row r="25">
      <c r="A25" s="11" t="n">
        <v>3</v>
      </c>
      <c r="B25" s="18" t="n">
        <v>46082</v>
      </c>
      <c r="C25" s="13">
        <f>F24</f>
        <v/>
      </c>
      <c r="D25" s="13">
        <f>MAX(0,C25*$B$7/12)</f>
        <v/>
      </c>
      <c r="E25" s="13">
        <f>MAX(0,MIN(C25,$B$8-D25))</f>
        <v/>
      </c>
      <c r="F25" s="13">
        <f>MAX(0,C25-E25)</f>
        <v/>
      </c>
    </row>
    <row r="26">
      <c r="A26" s="11" t="n">
        <v>4</v>
      </c>
      <c r="B26" s="18" t="n">
        <v>46113</v>
      </c>
      <c r="C26" s="13">
        <f>F25</f>
        <v/>
      </c>
      <c r="D26" s="13">
        <f>MAX(0,C26*$B$7/12)</f>
        <v/>
      </c>
      <c r="E26" s="13">
        <f>MAX(0,MIN(C26,$B$8-D26))</f>
        <v/>
      </c>
      <c r="F26" s="13">
        <f>MAX(0,C26-E26)</f>
        <v/>
      </c>
    </row>
    <row r="27">
      <c r="A27" s="11" t="n">
        <v>5</v>
      </c>
      <c r="B27" s="18" t="n">
        <v>46143</v>
      </c>
      <c r="C27" s="13">
        <f>F26</f>
        <v/>
      </c>
      <c r="D27" s="13">
        <f>MAX(0,C27*$B$7/12)</f>
        <v/>
      </c>
      <c r="E27" s="13">
        <f>MAX(0,MIN(C27,$B$8-D27))</f>
        <v/>
      </c>
      <c r="F27" s="13">
        <f>MAX(0,C27-E27)</f>
        <v/>
      </c>
    </row>
    <row r="28">
      <c r="A28" s="11" t="n">
        <v>6</v>
      </c>
      <c r="B28" s="18" t="n">
        <v>46174</v>
      </c>
      <c r="C28" s="13">
        <f>F27</f>
        <v/>
      </c>
      <c r="D28" s="13">
        <f>MAX(0,C28*$B$7/12)</f>
        <v/>
      </c>
      <c r="E28" s="13">
        <f>MAX(0,MIN(C28,$B$8-D28))</f>
        <v/>
      </c>
      <c r="F28" s="13">
        <f>MAX(0,C28-E28)</f>
        <v/>
      </c>
    </row>
    <row r="29">
      <c r="A29" s="11" t="n">
        <v>7</v>
      </c>
      <c r="B29" s="18" t="n">
        <v>46204</v>
      </c>
      <c r="C29" s="13">
        <f>F28</f>
        <v/>
      </c>
      <c r="D29" s="13">
        <f>MAX(0,C29*$B$7/12)</f>
        <v/>
      </c>
      <c r="E29" s="13">
        <f>MAX(0,MIN(C29,$B$8-D29))</f>
        <v/>
      </c>
      <c r="F29" s="13">
        <f>MAX(0,C29-E29)</f>
        <v/>
      </c>
    </row>
    <row r="30">
      <c r="A30" s="11" t="n">
        <v>8</v>
      </c>
      <c r="B30" s="18" t="n">
        <v>46235</v>
      </c>
      <c r="C30" s="13">
        <f>F29</f>
        <v/>
      </c>
      <c r="D30" s="13">
        <f>MAX(0,C30*$B$7/12)</f>
        <v/>
      </c>
      <c r="E30" s="13">
        <f>MAX(0,MIN(C30,$B$8-D30))</f>
        <v/>
      </c>
      <c r="F30" s="13">
        <f>MAX(0,C30-E30)</f>
        <v/>
      </c>
    </row>
    <row r="31">
      <c r="A31" s="11" t="n">
        <v>9</v>
      </c>
      <c r="B31" s="18" t="n">
        <v>46266</v>
      </c>
      <c r="C31" s="13">
        <f>F30</f>
        <v/>
      </c>
      <c r="D31" s="13">
        <f>MAX(0,C31*$B$7/12)</f>
        <v/>
      </c>
      <c r="E31" s="13">
        <f>MAX(0,MIN(C31,$B$8-D31))</f>
        <v/>
      </c>
      <c r="F31" s="13">
        <f>MAX(0,C31-E31)</f>
        <v/>
      </c>
    </row>
    <row r="32">
      <c r="A32" s="11" t="n">
        <v>10</v>
      </c>
      <c r="B32" s="18" t="n">
        <v>46296</v>
      </c>
      <c r="C32" s="13">
        <f>F31</f>
        <v/>
      </c>
      <c r="D32" s="13">
        <f>MAX(0,C32*$B$7/12)</f>
        <v/>
      </c>
      <c r="E32" s="13">
        <f>MAX(0,MIN(C32,$B$8-D32))</f>
        <v/>
      </c>
      <c r="F32" s="13">
        <f>MAX(0,C32-E32)</f>
        <v/>
      </c>
    </row>
    <row r="33">
      <c r="A33" s="11" t="n">
        <v>11</v>
      </c>
      <c r="B33" s="18" t="n">
        <v>46327</v>
      </c>
      <c r="C33" s="13">
        <f>F32</f>
        <v/>
      </c>
      <c r="D33" s="13">
        <f>MAX(0,C33*$B$7/12)</f>
        <v/>
      </c>
      <c r="E33" s="13">
        <f>MAX(0,MIN(C33,$B$8-D33))</f>
        <v/>
      </c>
      <c r="F33" s="13">
        <f>MAX(0,C33-E33)</f>
        <v/>
      </c>
    </row>
    <row r="34">
      <c r="A34" s="11" t="n">
        <v>12</v>
      </c>
      <c r="B34" s="18" t="n">
        <v>46357</v>
      </c>
      <c r="C34" s="13">
        <f>F33</f>
        <v/>
      </c>
      <c r="D34" s="13">
        <f>MAX(0,C34*$B$7/12)</f>
        <v/>
      </c>
      <c r="E34" s="13">
        <f>MAX(0,MIN(C34,$B$8-D34))</f>
        <v/>
      </c>
      <c r="F34" s="13">
        <f>MAX(0,C34-E34)</f>
        <v/>
      </c>
    </row>
    <row r="35">
      <c r="A35" s="11" t="n">
        <v>13</v>
      </c>
      <c r="B35" s="18" t="n">
        <v>46388</v>
      </c>
      <c r="C35" s="13">
        <f>F34</f>
        <v/>
      </c>
      <c r="D35" s="13">
        <f>MAX(0,C35*$B$7/12)</f>
        <v/>
      </c>
      <c r="E35" s="13">
        <f>MAX(0,MIN(C35,$B$8-D35))</f>
        <v/>
      </c>
      <c r="F35" s="13">
        <f>MAX(0,C35-E35)</f>
        <v/>
      </c>
    </row>
    <row r="36">
      <c r="A36" s="11" t="n">
        <v>14</v>
      </c>
      <c r="B36" s="18" t="n">
        <v>46419</v>
      </c>
      <c r="C36" s="13">
        <f>F35</f>
        <v/>
      </c>
      <c r="D36" s="13">
        <f>MAX(0,C36*$B$7/12)</f>
        <v/>
      </c>
      <c r="E36" s="13">
        <f>MAX(0,MIN(C36,$B$8-D36))</f>
        <v/>
      </c>
      <c r="F36" s="13">
        <f>MAX(0,C36-E36)</f>
        <v/>
      </c>
    </row>
    <row r="37">
      <c r="A37" s="11" t="n">
        <v>15</v>
      </c>
      <c r="B37" s="18" t="n">
        <v>46447</v>
      </c>
      <c r="C37" s="13">
        <f>F36</f>
        <v/>
      </c>
      <c r="D37" s="13">
        <f>MAX(0,C37*$B$7/12)</f>
        <v/>
      </c>
      <c r="E37" s="13">
        <f>MAX(0,MIN(C37,$B$8-D37))</f>
        <v/>
      </c>
      <c r="F37" s="13">
        <f>MAX(0,C37-E37)</f>
        <v/>
      </c>
    </row>
    <row r="38">
      <c r="A38" s="11" t="n">
        <v>16</v>
      </c>
      <c r="B38" s="18" t="n">
        <v>46478</v>
      </c>
      <c r="C38" s="13">
        <f>F37</f>
        <v/>
      </c>
      <c r="D38" s="13">
        <f>MAX(0,C38*$B$7/12)</f>
        <v/>
      </c>
      <c r="E38" s="13">
        <f>MAX(0,MIN(C38,$B$8-D38))</f>
        <v/>
      </c>
      <c r="F38" s="13">
        <f>MAX(0,C38-E38)</f>
        <v/>
      </c>
    </row>
    <row r="39">
      <c r="A39" s="11" t="n">
        <v>17</v>
      </c>
      <c r="B39" s="18" t="n">
        <v>46508</v>
      </c>
      <c r="C39" s="13">
        <f>F38</f>
        <v/>
      </c>
      <c r="D39" s="13">
        <f>MAX(0,C39*$B$7/12)</f>
        <v/>
      </c>
      <c r="E39" s="13">
        <f>MAX(0,MIN(C39,$B$8-D39))</f>
        <v/>
      </c>
      <c r="F39" s="13">
        <f>MAX(0,C39-E39)</f>
        <v/>
      </c>
    </row>
    <row r="40">
      <c r="A40" s="11" t="n">
        <v>18</v>
      </c>
      <c r="B40" s="18" t="n">
        <v>46539</v>
      </c>
      <c r="C40" s="13">
        <f>F39</f>
        <v/>
      </c>
      <c r="D40" s="13">
        <f>MAX(0,C40*$B$7/12)</f>
        <v/>
      </c>
      <c r="E40" s="13">
        <f>MAX(0,MIN(C40,$B$8-D40))</f>
        <v/>
      </c>
      <c r="F40" s="13">
        <f>MAX(0,C40-E40)</f>
        <v/>
      </c>
    </row>
    <row r="41">
      <c r="A41" s="11" t="n">
        <v>19</v>
      </c>
      <c r="B41" s="18" t="n">
        <v>46569</v>
      </c>
      <c r="C41" s="13">
        <f>F40</f>
        <v/>
      </c>
      <c r="D41" s="13">
        <f>MAX(0,C41*$B$7/12)</f>
        <v/>
      </c>
      <c r="E41" s="13">
        <f>MAX(0,MIN(C41,$B$8-D41))</f>
        <v/>
      </c>
      <c r="F41" s="13">
        <f>MAX(0,C41-E41)</f>
        <v/>
      </c>
    </row>
    <row r="42">
      <c r="A42" s="11" t="n">
        <v>20</v>
      </c>
      <c r="B42" s="18" t="n">
        <v>46600</v>
      </c>
      <c r="C42" s="13">
        <f>F41</f>
        <v/>
      </c>
      <c r="D42" s="13">
        <f>MAX(0,C42*$B$7/12)</f>
        <v/>
      </c>
      <c r="E42" s="13">
        <f>MAX(0,MIN(C42,$B$8-D42))</f>
        <v/>
      </c>
      <c r="F42" s="13">
        <f>MAX(0,C42-E42)</f>
        <v/>
      </c>
    </row>
    <row r="43">
      <c r="A43" s="11" t="n">
        <v>21</v>
      </c>
      <c r="B43" s="18" t="n">
        <v>46631</v>
      </c>
      <c r="C43" s="13">
        <f>F42</f>
        <v/>
      </c>
      <c r="D43" s="13">
        <f>MAX(0,C43*$B$7/12)</f>
        <v/>
      </c>
      <c r="E43" s="13">
        <f>MAX(0,MIN(C43,$B$8-D43))</f>
        <v/>
      </c>
      <c r="F43" s="13">
        <f>MAX(0,C43-E43)</f>
        <v/>
      </c>
    </row>
    <row r="44">
      <c r="A44" s="11" t="n">
        <v>22</v>
      </c>
      <c r="B44" s="18" t="n">
        <v>46661</v>
      </c>
      <c r="C44" s="13">
        <f>F43</f>
        <v/>
      </c>
      <c r="D44" s="13">
        <f>MAX(0,C44*$B$7/12)</f>
        <v/>
      </c>
      <c r="E44" s="13">
        <f>MAX(0,MIN(C44,$B$8-D44))</f>
        <v/>
      </c>
      <c r="F44" s="13">
        <f>MAX(0,C44-E44)</f>
        <v/>
      </c>
    </row>
    <row r="45">
      <c r="A45" s="11" t="n">
        <v>23</v>
      </c>
      <c r="B45" s="18" t="n">
        <v>46692</v>
      </c>
      <c r="C45" s="13">
        <f>F44</f>
        <v/>
      </c>
      <c r="D45" s="13">
        <f>MAX(0,C45*$B$7/12)</f>
        <v/>
      </c>
      <c r="E45" s="13">
        <f>MAX(0,MIN(C45,$B$8-D45))</f>
        <v/>
      </c>
      <c r="F45" s="13">
        <f>MAX(0,C45-E45)</f>
        <v/>
      </c>
    </row>
    <row r="46">
      <c r="A46" s="11" t="n">
        <v>24</v>
      </c>
      <c r="B46" s="18" t="n">
        <v>46722</v>
      </c>
      <c r="C46" s="13">
        <f>F45</f>
        <v/>
      </c>
      <c r="D46" s="13">
        <f>MAX(0,C46*$B$7/12)</f>
        <v/>
      </c>
      <c r="E46" s="13">
        <f>MAX(0,MIN(C46,$B$8-D46))</f>
        <v/>
      </c>
      <c r="F46" s="13">
        <f>MAX(0,C46-E46)</f>
        <v/>
      </c>
    </row>
    <row r="47">
      <c r="A47" s="11" t="n">
        <v>25</v>
      </c>
      <c r="B47" s="18" t="n">
        <v>46753</v>
      </c>
      <c r="C47" s="13">
        <f>F46</f>
        <v/>
      </c>
      <c r="D47" s="13">
        <f>MAX(0,C47*$B$7/12)</f>
        <v/>
      </c>
      <c r="E47" s="13">
        <f>MAX(0,MIN(C47,$B$8-D47))</f>
        <v/>
      </c>
      <c r="F47" s="13">
        <f>MAX(0,C47-E47)</f>
        <v/>
      </c>
    </row>
    <row r="48">
      <c r="A48" s="11" t="n">
        <v>26</v>
      </c>
      <c r="B48" s="18" t="n">
        <v>46784</v>
      </c>
      <c r="C48" s="13">
        <f>F47</f>
        <v/>
      </c>
      <c r="D48" s="13">
        <f>MAX(0,C48*$B$7/12)</f>
        <v/>
      </c>
      <c r="E48" s="13">
        <f>MAX(0,MIN(C48,$B$8-D48))</f>
        <v/>
      </c>
      <c r="F48" s="13">
        <f>MAX(0,C48-E48)</f>
        <v/>
      </c>
    </row>
    <row r="49">
      <c r="A49" s="11" t="n">
        <v>27</v>
      </c>
      <c r="B49" s="18" t="n">
        <v>46813</v>
      </c>
      <c r="C49" s="13">
        <f>F48</f>
        <v/>
      </c>
      <c r="D49" s="13">
        <f>MAX(0,C49*$B$7/12)</f>
        <v/>
      </c>
      <c r="E49" s="13">
        <f>MAX(0,MIN(C49,$B$8-D49))</f>
        <v/>
      </c>
      <c r="F49" s="13">
        <f>MAX(0,C49-E49)</f>
        <v/>
      </c>
    </row>
    <row r="50">
      <c r="A50" s="11" t="n">
        <v>28</v>
      </c>
      <c r="B50" s="18" t="n">
        <v>46844</v>
      </c>
      <c r="C50" s="13">
        <f>F49</f>
        <v/>
      </c>
      <c r="D50" s="13">
        <f>MAX(0,C50*$B$7/12)</f>
        <v/>
      </c>
      <c r="E50" s="13">
        <f>MAX(0,MIN(C50,$B$8-D50))</f>
        <v/>
      </c>
      <c r="F50" s="13">
        <f>MAX(0,C50-E50)</f>
        <v/>
      </c>
    </row>
    <row r="51">
      <c r="A51" s="11" t="n">
        <v>29</v>
      </c>
      <c r="B51" s="18" t="n">
        <v>46874</v>
      </c>
      <c r="C51" s="13">
        <f>F50</f>
        <v/>
      </c>
      <c r="D51" s="13">
        <f>MAX(0,C51*$B$7/12)</f>
        <v/>
      </c>
      <c r="E51" s="13">
        <f>MAX(0,MIN(C51,$B$8-D51))</f>
        <v/>
      </c>
      <c r="F51" s="13">
        <f>MAX(0,C51-E51)</f>
        <v/>
      </c>
    </row>
    <row r="52">
      <c r="A52" s="11" t="n">
        <v>30</v>
      </c>
      <c r="B52" s="18" t="n">
        <v>46905</v>
      </c>
      <c r="C52" s="13">
        <f>F51</f>
        <v/>
      </c>
      <c r="D52" s="13">
        <f>MAX(0,C52*$B$7/12)</f>
        <v/>
      </c>
      <c r="E52" s="13">
        <f>MAX(0,MIN(C52,$B$8-D52))</f>
        <v/>
      </c>
      <c r="F52" s="13">
        <f>MAX(0,C52-E52)</f>
        <v/>
      </c>
    </row>
    <row r="53">
      <c r="A53" s="11" t="n">
        <v>31</v>
      </c>
      <c r="B53" s="18" t="n">
        <v>46935</v>
      </c>
      <c r="C53" s="13">
        <f>F52</f>
        <v/>
      </c>
      <c r="D53" s="13">
        <f>MAX(0,C53*$B$7/12)</f>
        <v/>
      </c>
      <c r="E53" s="13">
        <f>MAX(0,MIN(C53,$B$8-D53))</f>
        <v/>
      </c>
      <c r="F53" s="13">
        <f>MAX(0,C53-E53)</f>
        <v/>
      </c>
    </row>
    <row r="54">
      <c r="A54" s="11" t="n">
        <v>32</v>
      </c>
      <c r="B54" s="18" t="n">
        <v>46966</v>
      </c>
      <c r="C54" s="13">
        <f>F53</f>
        <v/>
      </c>
      <c r="D54" s="13">
        <f>MAX(0,C54*$B$7/12)</f>
        <v/>
      </c>
      <c r="E54" s="13">
        <f>MAX(0,MIN(C54,$B$8-D54))</f>
        <v/>
      </c>
      <c r="F54" s="13">
        <f>MAX(0,C54-E54)</f>
        <v/>
      </c>
    </row>
    <row r="55">
      <c r="A55" s="11" t="n">
        <v>33</v>
      </c>
      <c r="B55" s="18" t="n">
        <v>46997</v>
      </c>
      <c r="C55" s="13">
        <f>F54</f>
        <v/>
      </c>
      <c r="D55" s="13">
        <f>MAX(0,C55*$B$7/12)</f>
        <v/>
      </c>
      <c r="E55" s="13">
        <f>MAX(0,MIN(C55,$B$8-D55))</f>
        <v/>
      </c>
      <c r="F55" s="13">
        <f>MAX(0,C55-E55)</f>
        <v/>
      </c>
    </row>
    <row r="56">
      <c r="A56" s="11" t="n">
        <v>34</v>
      </c>
      <c r="B56" s="18" t="n">
        <v>47027</v>
      </c>
      <c r="C56" s="13">
        <f>F55</f>
        <v/>
      </c>
      <c r="D56" s="13">
        <f>MAX(0,C56*$B$7/12)</f>
        <v/>
      </c>
      <c r="E56" s="13">
        <f>MAX(0,MIN(C56,$B$8-D56))</f>
        <v/>
      </c>
      <c r="F56" s="13">
        <f>MAX(0,C56-E56)</f>
        <v/>
      </c>
    </row>
    <row r="57">
      <c r="A57" s="11" t="n">
        <v>35</v>
      </c>
      <c r="B57" s="18" t="n">
        <v>47058</v>
      </c>
      <c r="C57" s="13">
        <f>F56</f>
        <v/>
      </c>
      <c r="D57" s="13">
        <f>MAX(0,C57*$B$7/12)</f>
        <v/>
      </c>
      <c r="E57" s="13">
        <f>MAX(0,MIN(C57,$B$8-D57))</f>
        <v/>
      </c>
      <c r="F57" s="13">
        <f>MAX(0,C57-E57)</f>
        <v/>
      </c>
    </row>
    <row r="58">
      <c r="A58" s="11" t="n">
        <v>36</v>
      </c>
      <c r="B58" s="18" t="n">
        <v>47088</v>
      </c>
      <c r="C58" s="13">
        <f>F57</f>
        <v/>
      </c>
      <c r="D58" s="13">
        <f>MAX(0,C58*$B$7/12)</f>
        <v/>
      </c>
      <c r="E58" s="13">
        <f>MAX(0,MIN(C58,$B$8-D58))</f>
        <v/>
      </c>
      <c r="F58" s="13">
        <f>MAX(0,C58-E58)</f>
        <v/>
      </c>
    </row>
    <row r="59">
      <c r="A59" s="11" t="n">
        <v>37</v>
      </c>
      <c r="B59" s="18" t="n">
        <v>47119</v>
      </c>
      <c r="C59" s="13">
        <f>F58</f>
        <v/>
      </c>
      <c r="D59" s="13">
        <f>MAX(0,C59*$B$7/12)</f>
        <v/>
      </c>
      <c r="E59" s="13">
        <f>MAX(0,MIN(C59,$B$8-D59))</f>
        <v/>
      </c>
      <c r="F59" s="13">
        <f>MAX(0,C59-E59)</f>
        <v/>
      </c>
    </row>
    <row r="60">
      <c r="A60" s="11" t="n">
        <v>38</v>
      </c>
      <c r="B60" s="18" t="n">
        <v>47150</v>
      </c>
      <c r="C60" s="13">
        <f>F59</f>
        <v/>
      </c>
      <c r="D60" s="13">
        <f>MAX(0,C60*$B$7/12)</f>
        <v/>
      </c>
      <c r="E60" s="13">
        <f>MAX(0,MIN(C60,$B$8-D60))</f>
        <v/>
      </c>
      <c r="F60" s="13">
        <f>MAX(0,C60-E60)</f>
        <v/>
      </c>
    </row>
    <row r="61">
      <c r="A61" s="11" t="n">
        <v>39</v>
      </c>
      <c r="B61" s="18" t="n">
        <v>47178</v>
      </c>
      <c r="C61" s="13">
        <f>F60</f>
        <v/>
      </c>
      <c r="D61" s="13">
        <f>MAX(0,C61*$B$7/12)</f>
        <v/>
      </c>
      <c r="E61" s="13">
        <f>MAX(0,MIN(C61,$B$8-D61))</f>
        <v/>
      </c>
      <c r="F61" s="13">
        <f>MAX(0,C61-E61)</f>
        <v/>
      </c>
    </row>
    <row r="62">
      <c r="A62" s="11" t="n">
        <v>40</v>
      </c>
      <c r="B62" s="18" t="n">
        <v>47209</v>
      </c>
      <c r="C62" s="13">
        <f>F61</f>
        <v/>
      </c>
      <c r="D62" s="13">
        <f>MAX(0,C62*$B$7/12)</f>
        <v/>
      </c>
      <c r="E62" s="13">
        <f>MAX(0,MIN(C62,$B$8-D62))</f>
        <v/>
      </c>
      <c r="F62" s="13">
        <f>MAX(0,C62-E62)</f>
        <v/>
      </c>
    </row>
    <row r="63">
      <c r="A63" s="11" t="n">
        <v>41</v>
      </c>
      <c r="B63" s="18" t="n">
        <v>47239</v>
      </c>
      <c r="C63" s="13">
        <f>F62</f>
        <v/>
      </c>
      <c r="D63" s="13">
        <f>MAX(0,C63*$B$7/12)</f>
        <v/>
      </c>
      <c r="E63" s="13">
        <f>MAX(0,MIN(C63,$B$8-D63))</f>
        <v/>
      </c>
      <c r="F63" s="13">
        <f>MAX(0,C63-E63)</f>
        <v/>
      </c>
    </row>
    <row r="64">
      <c r="A64" s="11" t="n">
        <v>42</v>
      </c>
      <c r="B64" s="18" t="n">
        <v>47270</v>
      </c>
      <c r="C64" s="13">
        <f>F63</f>
        <v/>
      </c>
      <c r="D64" s="13">
        <f>MAX(0,C64*$B$7/12)</f>
        <v/>
      </c>
      <c r="E64" s="13">
        <f>MAX(0,MIN(C64,$B$8-D64))</f>
        <v/>
      </c>
      <c r="F64" s="13">
        <f>MAX(0,C64-E64)</f>
        <v/>
      </c>
    </row>
    <row r="65">
      <c r="A65" s="11" t="n">
        <v>43</v>
      </c>
      <c r="B65" s="18" t="n">
        <v>47300</v>
      </c>
      <c r="C65" s="13">
        <f>F64</f>
        <v/>
      </c>
      <c r="D65" s="13">
        <f>MAX(0,C65*$B$7/12)</f>
        <v/>
      </c>
      <c r="E65" s="13">
        <f>MAX(0,MIN(C65,$B$8-D65))</f>
        <v/>
      </c>
      <c r="F65" s="13">
        <f>MAX(0,C65-E65)</f>
        <v/>
      </c>
    </row>
    <row r="66">
      <c r="A66" s="11" t="n">
        <v>44</v>
      </c>
      <c r="B66" s="18" t="n">
        <v>47331</v>
      </c>
      <c r="C66" s="13">
        <f>F65</f>
        <v/>
      </c>
      <c r="D66" s="13">
        <f>MAX(0,C66*$B$7/12)</f>
        <v/>
      </c>
      <c r="E66" s="13">
        <f>MAX(0,MIN(C66,$B$8-D66))</f>
        <v/>
      </c>
      <c r="F66" s="13">
        <f>MAX(0,C66-E66)</f>
        <v/>
      </c>
    </row>
    <row r="67">
      <c r="A67" s="11" t="n">
        <v>45</v>
      </c>
      <c r="B67" s="18" t="n">
        <v>47362</v>
      </c>
      <c r="C67" s="13">
        <f>F66</f>
        <v/>
      </c>
      <c r="D67" s="13">
        <f>MAX(0,C67*$B$7/12)</f>
        <v/>
      </c>
      <c r="E67" s="13">
        <f>MAX(0,MIN(C67,$B$8-D67))</f>
        <v/>
      </c>
      <c r="F67" s="13">
        <f>MAX(0,C67-E67)</f>
        <v/>
      </c>
    </row>
    <row r="70">
      <c r="A70" s="2" t="inlineStr">
        <is>
          <t>ANNUAL SUMMARY</t>
        </is>
      </c>
      <c r="B70" s="3" t="n"/>
      <c r="C70" s="3" t="n"/>
      <c r="D70" s="3" t="n"/>
      <c r="E70" s="3" t="n"/>
      <c r="F70" s="3" t="n"/>
    </row>
    <row r="71">
      <c r="A71" s="14" t="inlineStr">
        <is>
          <t>Year</t>
        </is>
      </c>
      <c r="B71" s="14" t="inlineStr"/>
      <c r="C71" s="14" t="inlineStr">
        <is>
          <t>Opening</t>
        </is>
      </c>
      <c r="D71" s="14" t="inlineStr">
        <is>
          <t>Interest</t>
        </is>
      </c>
      <c r="E71" s="14" t="inlineStr">
        <is>
          <t>Principal</t>
        </is>
      </c>
      <c r="F71" s="14" t="inlineStr">
        <is>
          <t>Closing</t>
        </is>
      </c>
    </row>
    <row r="72">
      <c r="A72" s="15" t="n">
        <v>2026</v>
      </c>
      <c r="B72" s="15" t="inlineStr"/>
      <c r="C72" s="16">
        <f>C23</f>
        <v/>
      </c>
      <c r="D72" s="16">
        <f>SUM(D23:D34)</f>
        <v/>
      </c>
      <c r="E72" s="16">
        <f>SUM(E23:E34)</f>
        <v/>
      </c>
      <c r="F72" s="16">
        <f>F34</f>
        <v/>
      </c>
    </row>
    <row r="73">
      <c r="A73" s="15" t="n">
        <v>2027</v>
      </c>
      <c r="B73" s="15" t="inlineStr"/>
      <c r="C73" s="16">
        <f>C35</f>
        <v/>
      </c>
      <c r="D73" s="16">
        <f>SUM(D35:D46)</f>
        <v/>
      </c>
      <c r="E73" s="16">
        <f>SUM(E35:E46)</f>
        <v/>
      </c>
      <c r="F73" s="16">
        <f>F46</f>
        <v/>
      </c>
    </row>
    <row r="74">
      <c r="A74" s="15" t="n">
        <v>2028</v>
      </c>
      <c r="B74" s="15" t="inlineStr"/>
      <c r="C74" s="16">
        <f>C47</f>
        <v/>
      </c>
      <c r="D74" s="16">
        <f>SUM(D47:D58)</f>
        <v/>
      </c>
      <c r="E74" s="16">
        <f>SUM(E47:E58)</f>
        <v/>
      </c>
      <c r="F74" s="16">
        <f>F58</f>
        <v/>
      </c>
    </row>
    <row r="75">
      <c r="A75" s="15" t="n">
        <v>2029</v>
      </c>
      <c r="B75" s="15" t="inlineStr"/>
      <c r="C75" s="16">
        <f>C59</f>
        <v/>
      </c>
      <c r="D75" s="16">
        <f>SUM(D59:D67)</f>
        <v/>
      </c>
      <c r="E75" s="16">
        <f>SUM(E59:E67)</f>
        <v/>
      </c>
      <c r="F75" s="16">
        <f>F67</f>
        <v/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90.xml><?xml version="1.0" encoding="utf-8"?>
<worksheet xmlns="http://schemas.openxmlformats.org/spreadsheetml/2006/main">
  <sheetPr>
    <tabColor rgb="001A237E"/>
    <outlinePr summaryBelow="1" summaryRight="1"/>
    <pageSetUpPr/>
  </sheetPr>
  <dimension ref="A1:H63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61" t="inlineStr">
        <is>
          <t>BALANCE SHEET</t>
        </is>
      </c>
    </row>
    <row r="2">
      <c r="A2" s="62" t="inlineStr">
        <is>
          <t>Meiborg Companies, Inc.</t>
        </is>
      </c>
    </row>
    <row r="4">
      <c r="A4" s="82" t="inlineStr">
        <is>
          <t>Line Item</t>
        </is>
      </c>
      <c r="B4" s="82" t="inlineStr">
        <is>
          <t>12/31/2022</t>
        </is>
      </c>
      <c r="C4" s="82" t="inlineStr">
        <is>
          <t>12/31/2023</t>
        </is>
      </c>
      <c r="D4" s="82" t="inlineStr">
        <is>
          <t>12/31/2024</t>
        </is>
      </c>
      <c r="E4" s="82" t="inlineStr">
        <is>
          <t>12/31/2025</t>
        </is>
      </c>
      <c r="F4" s="82" t="inlineStr">
        <is>
          <t>12/31/2025E</t>
        </is>
      </c>
      <c r="G4" s="82" t="inlineStr">
        <is>
          <t>12/31/2026E</t>
        </is>
      </c>
      <c r="H4" s="82" t="inlineStr">
        <is>
          <t>12/31/2027E</t>
        </is>
      </c>
    </row>
    <row r="5">
      <c r="A5" s="83" t="inlineStr">
        <is>
          <t>ASSETS</t>
        </is>
      </c>
      <c r="B5" s="83" t="n"/>
      <c r="C5" s="83" t="n"/>
      <c r="D5" s="83" t="n"/>
      <c r="E5" s="83" t="n"/>
      <c r="F5" s="83" t="n"/>
      <c r="G5" s="83" t="n"/>
      <c r="H5" s="83" t="n"/>
    </row>
    <row r="6">
      <c r="A6" s="84" t="inlineStr">
        <is>
          <t>Current Assets</t>
        </is>
      </c>
    </row>
    <row r="7">
      <c r="A7" t="inlineStr">
        <is>
          <t>Cash</t>
        </is>
      </c>
      <c r="B7" s="64">
        <f>2799392</f>
        <v/>
      </c>
      <c r="C7" s="64">
        <f>3161668</f>
        <v/>
      </c>
      <c r="D7" s="64">
        <f>2884845</f>
        <v/>
      </c>
      <c r="E7" s="64">
        <f>1362280</f>
        <v/>
      </c>
      <c r="F7">
        <f>'Cash Flow'!F35</f>
        <v/>
      </c>
      <c r="G7">
        <f>'Cash Flow'!G35</f>
        <v/>
      </c>
      <c r="H7">
        <f>'Cash Flow'!H35</f>
        <v/>
      </c>
    </row>
    <row r="8">
      <c r="A8" t="inlineStr">
        <is>
          <t>Accounts Receivable</t>
        </is>
      </c>
      <c r="B8" s="64">
        <f>8473150</f>
        <v/>
      </c>
      <c r="C8" s="64">
        <f>7870744</f>
        <v/>
      </c>
      <c r="D8" s="64">
        <f>7649619</f>
        <v/>
      </c>
      <c r="E8" s="64">
        <f>11392344</f>
        <v/>
      </c>
      <c r="F8">
        <f>Assumptions!D17/365*Assumptions!D48</f>
        <v/>
      </c>
      <c r="G8">
        <f>Assumptions!E17/365*Assumptions!E48</f>
        <v/>
      </c>
      <c r="H8">
        <f>Assumptions!F17/365*Assumptions!F48</f>
        <v/>
      </c>
    </row>
    <row r="9">
      <c r="A9" t="inlineStr">
        <is>
          <t>Notes Receivable - Current</t>
        </is>
      </c>
      <c r="B9" s="85" t="n"/>
      <c r="C9" s="85" t="n"/>
      <c r="D9" s="85" t="n"/>
      <c r="E9" s="64">
        <f>4774</f>
        <v/>
      </c>
      <c r="F9">
        <f>E9</f>
        <v/>
      </c>
      <c r="G9">
        <f>F9</f>
        <v/>
      </c>
      <c r="H9">
        <f>G9</f>
        <v/>
      </c>
    </row>
    <row r="10">
      <c r="A10" t="inlineStr">
        <is>
          <t>Inventories</t>
        </is>
      </c>
      <c r="B10" s="64">
        <f>500747</f>
        <v/>
      </c>
      <c r="C10" s="64">
        <f>402973</f>
        <v/>
      </c>
      <c r="D10" s="64">
        <f>562743</f>
        <v/>
      </c>
      <c r="E10" s="64">
        <f>1288789</f>
        <v/>
      </c>
      <c r="F10">
        <f>Assumptions!D17*(1-Assumptions!D27)/365*Assumptions!D49</f>
        <v/>
      </c>
      <c r="G10">
        <f>Assumptions!E17*(1-Assumptions!E27)/365*Assumptions!E49</f>
        <v/>
      </c>
      <c r="H10">
        <f>Assumptions!F17*(1-Assumptions!F27)/365*Assumptions!F49</f>
        <v/>
      </c>
    </row>
    <row r="11">
      <c r="A11" t="inlineStr">
        <is>
          <t>Prepaid Expenses</t>
        </is>
      </c>
      <c r="B11" s="85" t="n"/>
      <c r="C11" s="85" t="n"/>
      <c r="D11" s="85" t="n"/>
      <c r="E11" s="64">
        <f>921168</f>
        <v/>
      </c>
      <c r="F11">
        <f>E11</f>
        <v/>
      </c>
      <c r="G11">
        <f>F11</f>
        <v/>
      </c>
      <c r="H11">
        <f>G11</f>
        <v/>
      </c>
    </row>
    <row r="12">
      <c r="A12" t="inlineStr">
        <is>
          <t>Other Current Assets</t>
        </is>
      </c>
      <c r="B12" s="64">
        <f>1038207</f>
        <v/>
      </c>
      <c r="C12" s="64">
        <f>1104381</f>
        <v/>
      </c>
      <c r="D12" s="64">
        <f>1264458</f>
        <v/>
      </c>
      <c r="E12" s="64">
        <f>731753</f>
        <v/>
      </c>
      <c r="F12">
        <f>E12</f>
        <v/>
      </c>
      <c r="G12">
        <f>F12</f>
        <v/>
      </c>
      <c r="H12">
        <f>G12</f>
        <v/>
      </c>
    </row>
    <row r="13">
      <c r="A13" s="1" t="inlineStr">
        <is>
          <t>Total Current Assets</t>
        </is>
      </c>
      <c r="B13" s="65">
        <f>SUM(B7:B12)</f>
        <v/>
      </c>
      <c r="C13" s="65">
        <f>SUM(C7:C12)</f>
        <v/>
      </c>
      <c r="D13" s="65">
        <f>SUM(D7:D12)</f>
        <v/>
      </c>
      <c r="E13" s="65">
        <f>SUM(E7:E12)</f>
        <v/>
      </c>
      <c r="F13">
        <f>SUM(F7:F12)</f>
        <v/>
      </c>
      <c r="G13">
        <f>SUM(G7:G12)</f>
        <v/>
      </c>
      <c r="H13">
        <f>SUM(H7:H12)</f>
        <v/>
      </c>
    </row>
    <row r="15">
      <c r="A15" s="84" t="inlineStr">
        <is>
          <t>Fixed Assets</t>
        </is>
      </c>
    </row>
    <row r="16">
      <c r="A16" t="inlineStr">
        <is>
          <t>Gross Fixed Assets</t>
        </is>
      </c>
      <c r="B16" s="85" t="n"/>
      <c r="C16" s="85" t="n"/>
      <c r="D16" s="85" t="n"/>
      <c r="E16" s="64">
        <f>88900434</f>
        <v/>
      </c>
      <c r="F16">
        <f>E16+Assumptions!D17*Assumptions!D39</f>
        <v/>
      </c>
      <c r="G16">
        <f>F16+Assumptions!E17*Assumptions!E39</f>
        <v/>
      </c>
      <c r="H16">
        <f>G16+Assumptions!F17*Assumptions!F39</f>
        <v/>
      </c>
    </row>
    <row r="17">
      <c r="A17" t="inlineStr">
        <is>
          <t>Accumulated Depreciation</t>
        </is>
      </c>
      <c r="B17" s="85" t="n"/>
      <c r="C17" s="85" t="n"/>
      <c r="D17" s="85" t="n"/>
      <c r="E17" s="64">
        <f>-32397880</f>
        <v/>
      </c>
      <c r="F17">
        <f>E17-Assumptions!D62</f>
        <v/>
      </c>
      <c r="G17">
        <f>F17-Assumptions!E62</f>
        <v/>
      </c>
      <c r="H17">
        <f>G17-Assumptions!F62</f>
        <v/>
      </c>
    </row>
    <row r="18">
      <c r="A18" s="1" t="inlineStr">
        <is>
          <t>Net Fixed Assets</t>
        </is>
      </c>
      <c r="B18" s="64">
        <f>47531902</f>
        <v/>
      </c>
      <c r="C18" s="64">
        <f>51572092</f>
        <v/>
      </c>
      <c r="D18" s="64">
        <f>52194952</f>
        <v/>
      </c>
      <c r="E18" s="65">
        <f>E16+E17</f>
        <v/>
      </c>
      <c r="F18">
        <f>F16+F17</f>
        <v/>
      </c>
      <c r="G18">
        <f>G16+G17</f>
        <v/>
      </c>
      <c r="H18">
        <f>H16+H17</f>
        <v/>
      </c>
    </row>
    <row r="20">
      <c r="A20" s="84" t="inlineStr">
        <is>
          <t>Other Assets</t>
        </is>
      </c>
    </row>
    <row r="21">
      <c r="A21" t="inlineStr">
        <is>
          <t>Notes Receivable - LT</t>
        </is>
      </c>
      <c r="B21" s="85" t="n"/>
      <c r="C21" s="85" t="n"/>
      <c r="D21" s="85" t="n"/>
      <c r="E21" s="64">
        <f>200000</f>
        <v/>
      </c>
      <c r="F21">
        <f>E21</f>
        <v/>
      </c>
      <c r="G21">
        <f>F21</f>
        <v/>
      </c>
      <c r="H21">
        <f>G21</f>
        <v/>
      </c>
    </row>
    <row r="22">
      <c r="A22" t="inlineStr">
        <is>
          <t>Notes Receivable - Related Party</t>
        </is>
      </c>
      <c r="B22" s="85" t="n"/>
      <c r="C22" s="85" t="n"/>
      <c r="D22" s="85" t="n"/>
      <c r="E22" s="64">
        <f>1398231</f>
        <v/>
      </c>
      <c r="F22">
        <f>E22</f>
        <v/>
      </c>
      <c r="G22">
        <f>F22</f>
        <v/>
      </c>
      <c r="H22">
        <f>G22</f>
        <v/>
      </c>
    </row>
    <row r="23">
      <c r="A23" t="inlineStr">
        <is>
          <t>Right of Use Asset</t>
        </is>
      </c>
      <c r="B23" s="85" t="n"/>
      <c r="C23" s="85" t="n"/>
      <c r="D23" s="85" t="n"/>
      <c r="E23" s="64">
        <f>5381185</f>
        <v/>
      </c>
      <c r="F23">
        <f>E23</f>
        <v/>
      </c>
      <c r="G23">
        <f>F23</f>
        <v/>
      </c>
      <c r="H23">
        <f>G23</f>
        <v/>
      </c>
    </row>
    <row r="24">
      <c r="A24" t="inlineStr">
        <is>
          <t>Other Assets</t>
        </is>
      </c>
      <c r="B24" s="64">
        <f>482066</f>
        <v/>
      </c>
      <c r="C24" s="64">
        <f>496166</f>
        <v/>
      </c>
      <c r="D24" s="64">
        <f>576916</f>
        <v/>
      </c>
      <c r="E24" s="64">
        <f>534038</f>
        <v/>
      </c>
      <c r="F24">
        <f>E24</f>
        <v/>
      </c>
      <c r="G24">
        <f>F24</f>
        <v/>
      </c>
      <c r="H24">
        <f>G24</f>
        <v/>
      </c>
    </row>
    <row r="25">
      <c r="A25" t="inlineStr">
        <is>
          <t>Notes Receivable (historical)</t>
        </is>
      </c>
      <c r="B25" s="64">
        <f>2331336</f>
        <v/>
      </c>
      <c r="C25" s="64">
        <f>3315255</f>
        <v/>
      </c>
      <c r="D25" s="64">
        <f>1279454</f>
        <v/>
      </c>
      <c r="E25" s="85" t="n"/>
    </row>
    <row r="26">
      <c r="A26" s="1" t="inlineStr">
        <is>
          <t>Total Other Assets</t>
        </is>
      </c>
      <c r="B26" s="65">
        <f>B24+B25</f>
        <v/>
      </c>
      <c r="C26" s="65">
        <f>C24+C25</f>
        <v/>
      </c>
      <c r="D26" s="65">
        <f>D24+D25</f>
        <v/>
      </c>
      <c r="E26" s="65">
        <f>E21+E22+E23+E24</f>
        <v/>
      </c>
      <c r="F26">
        <f>SUM(F21:F24)</f>
        <v/>
      </c>
      <c r="G26">
        <f>SUM(G21:G24)</f>
        <v/>
      </c>
      <c r="H26">
        <f>SUM(H21:H24)</f>
        <v/>
      </c>
    </row>
    <row r="28">
      <c r="A28" s="49" t="inlineStr">
        <is>
          <t>TOTAL ASSETS</t>
        </is>
      </c>
      <c r="B28" s="68">
        <f>B13+B18+B26</f>
        <v/>
      </c>
      <c r="C28" s="68">
        <f>C13+C18+C26</f>
        <v/>
      </c>
      <c r="D28" s="68">
        <f>D13+D18+D26</f>
        <v/>
      </c>
      <c r="E28" s="68">
        <f>E13+E18+E26</f>
        <v/>
      </c>
      <c r="F28">
        <f>F13+F18+F26</f>
        <v/>
      </c>
      <c r="G28">
        <f>G13+G18+G26</f>
        <v/>
      </c>
      <c r="H28">
        <f>H13+H18+H26</f>
        <v/>
      </c>
    </row>
    <row r="30">
      <c r="A30" s="83" t="inlineStr">
        <is>
          <t>LIABILITIES</t>
        </is>
      </c>
      <c r="B30" s="83" t="n"/>
      <c r="C30" s="83" t="n"/>
      <c r="D30" s="83" t="n"/>
      <c r="E30" s="83" t="n"/>
      <c r="F30" s="83" t="n"/>
      <c r="G30" s="83" t="n"/>
      <c r="H30" s="83" t="n"/>
    </row>
    <row r="31">
      <c r="A31" s="84" t="inlineStr">
        <is>
          <t>Current Liabilities</t>
        </is>
      </c>
    </row>
    <row r="32">
      <c r="A32" t="inlineStr">
        <is>
          <t>Line of Credit</t>
        </is>
      </c>
      <c r="B32" s="64">
        <f>0</f>
        <v/>
      </c>
      <c r="C32" s="64">
        <f>0</f>
        <v/>
      </c>
      <c r="D32" s="64">
        <f>1650000</f>
        <v/>
      </c>
      <c r="E32" s="64">
        <f>0</f>
        <v/>
      </c>
      <c r="F32">
        <f>0</f>
        <v/>
      </c>
      <c r="G32">
        <f>0</f>
        <v/>
      </c>
      <c r="H32">
        <f>0</f>
        <v/>
      </c>
    </row>
    <row r="33">
      <c r="A33" t="inlineStr">
        <is>
          <t>Current Portion Bank Notes</t>
        </is>
      </c>
      <c r="B33" s="64">
        <f>8227032</f>
        <v/>
      </c>
      <c r="C33" s="64">
        <f>8528213</f>
        <v/>
      </c>
      <c r="D33" s="64">
        <f>12473808</f>
        <v/>
      </c>
      <c r="E33" s="64">
        <f>8690285</f>
        <v/>
      </c>
      <c r="F33">
        <f>Assumptions!D41</f>
        <v/>
      </c>
      <c r="G33">
        <f>Assumptions!E41</f>
        <v/>
      </c>
      <c r="H33">
        <f>Assumptions!F41</f>
        <v/>
      </c>
    </row>
    <row r="34">
      <c r="A34" t="inlineStr">
        <is>
          <t>Current Portion Capital Leases</t>
        </is>
      </c>
      <c r="B34" s="85" t="n"/>
      <c r="C34" s="85" t="n"/>
      <c r="D34" s="85" t="n"/>
      <c r="E34" s="64">
        <f>180905</f>
        <v/>
      </c>
      <c r="F34">
        <f>E34</f>
        <v/>
      </c>
      <c r="G34">
        <f>F34</f>
        <v/>
      </c>
      <c r="H34">
        <f>G34</f>
        <v/>
      </c>
    </row>
    <row r="35">
      <c r="A35" t="inlineStr">
        <is>
          <t>Operating Lease Liability - Current</t>
        </is>
      </c>
      <c r="B35" s="85" t="n"/>
      <c r="C35" s="85" t="n"/>
      <c r="D35" s="85" t="n"/>
      <c r="E35" s="64">
        <f>3399668</f>
        <v/>
      </c>
      <c r="F35">
        <f>E35</f>
        <v/>
      </c>
      <c r="G35">
        <f>F35</f>
        <v/>
      </c>
      <c r="H35">
        <f>G35</f>
        <v/>
      </c>
    </row>
    <row r="36">
      <c r="A36" t="inlineStr">
        <is>
          <t>Accounts Payable</t>
        </is>
      </c>
      <c r="B36" s="64">
        <f>4836817</f>
        <v/>
      </c>
      <c r="C36" s="64">
        <f>4775245</f>
        <v/>
      </c>
      <c r="D36" s="64">
        <f>5737000</f>
        <v/>
      </c>
      <c r="E36" s="64">
        <f>7975753</f>
        <v/>
      </c>
      <c r="F36">
        <f>Assumptions!D17*(1-Assumptions!D27)/365*Assumptions!D50</f>
        <v/>
      </c>
      <c r="G36">
        <f>Assumptions!E17*(1-Assumptions!E27)/365*Assumptions!E50</f>
        <v/>
      </c>
      <c r="H36">
        <f>Assumptions!F17*(1-Assumptions!F27)/365*Assumptions!F50</f>
        <v/>
      </c>
    </row>
    <row r="37">
      <c r="A37" t="inlineStr">
        <is>
          <t>Accrued Payroll</t>
        </is>
      </c>
      <c r="B37" s="85" t="n"/>
      <c r="C37" s="85" t="n"/>
      <c r="D37" s="85" t="n"/>
      <c r="E37" s="64">
        <f>480284</f>
        <v/>
      </c>
      <c r="F37">
        <f>E37*Assumptions!D17/Assumptions!C17</f>
        <v/>
      </c>
      <c r="G37">
        <f>F37*Assumptions!E17/Assumptions!D17</f>
        <v/>
      </c>
      <c r="H37">
        <f>G37*Assumptions!F17/Assumptions!E17</f>
        <v/>
      </c>
    </row>
    <row r="38">
      <c r="A38" t="inlineStr">
        <is>
          <t>Other Accrued</t>
        </is>
      </c>
      <c r="B38" s="64">
        <f>1402202</f>
        <v/>
      </c>
      <c r="C38" s="64">
        <f>1556747</f>
        <v/>
      </c>
      <c r="D38" s="64">
        <f>1863000</f>
        <v/>
      </c>
      <c r="E38" s="64">
        <f>2763905</f>
        <v/>
      </c>
      <c r="F38">
        <f>E38*Assumptions!D17/Assumptions!C17</f>
        <v/>
      </c>
      <c r="G38">
        <f>F38*Assumptions!E17/Assumptions!D17</f>
        <v/>
      </c>
      <c r="H38">
        <f>G38*Assumptions!F17/Assumptions!E17</f>
        <v/>
      </c>
    </row>
    <row r="39">
      <c r="A39" s="1" t="inlineStr">
        <is>
          <t>Total Current Liabilities</t>
        </is>
      </c>
      <c r="B39" s="65">
        <f>SUM(B32:B38)</f>
        <v/>
      </c>
      <c r="C39" s="65">
        <f>SUM(C32:C38)</f>
        <v/>
      </c>
      <c r="D39" s="65">
        <f>SUM(D32:D38)</f>
        <v/>
      </c>
      <c r="E39" s="65">
        <f>SUM(E32:E38)</f>
        <v/>
      </c>
      <c r="F39">
        <f>SUM(F32:F38)</f>
        <v/>
      </c>
      <c r="G39">
        <f>SUM(G32:G38)</f>
        <v/>
      </c>
      <c r="H39">
        <f>SUM(H32:H38)</f>
        <v/>
      </c>
    </row>
    <row r="41">
      <c r="A41" s="84" t="inlineStr">
        <is>
          <t>Long-Term Liabilities</t>
        </is>
      </c>
    </row>
    <row r="42">
      <c r="A42" t="inlineStr">
        <is>
          <t>LT Portion Bank Notes</t>
        </is>
      </c>
      <c r="B42" s="64">
        <f>32185763</f>
        <v/>
      </c>
      <c r="C42" s="64">
        <f>33311532</f>
        <v/>
      </c>
      <c r="D42" s="64">
        <f>29209970</f>
        <v/>
      </c>
      <c r="E42" s="64">
        <f>38030432</f>
        <v/>
      </c>
      <c r="F42">
        <f>E42-Assumptions!D41+Assumptions!D42</f>
        <v/>
      </c>
      <c r="G42">
        <f>F42-Assumptions!E41+Assumptions!E42</f>
        <v/>
      </c>
      <c r="H42">
        <f>G42-Assumptions!F41+Assumptions!F42</f>
        <v/>
      </c>
    </row>
    <row r="43">
      <c r="A43" t="inlineStr">
        <is>
          <t>LT Portion Capital Leases</t>
        </is>
      </c>
      <c r="B43" s="85" t="n"/>
      <c r="C43" s="85" t="n"/>
      <c r="D43" s="85" t="n"/>
      <c r="E43" s="64">
        <f>120720</f>
        <v/>
      </c>
      <c r="F43">
        <f>E43</f>
        <v/>
      </c>
      <c r="G43">
        <f>F43</f>
        <v/>
      </c>
      <c r="H43">
        <f>G43</f>
        <v/>
      </c>
    </row>
    <row r="44">
      <c r="A44" t="inlineStr">
        <is>
          <t>Operating Lease Liability - LT</t>
        </is>
      </c>
      <c r="B44" s="85" t="n"/>
      <c r="C44" s="85" t="n"/>
      <c r="D44" s="85" t="n"/>
      <c r="E44" s="64">
        <f>2650716</f>
        <v/>
      </c>
      <c r="F44">
        <f>E44</f>
        <v/>
      </c>
      <c r="G44">
        <f>F44</f>
        <v/>
      </c>
      <c r="H44">
        <f>G44</f>
        <v/>
      </c>
    </row>
    <row r="45">
      <c r="A45" s="1" t="inlineStr">
        <is>
          <t>Total Long-Term Liabilities</t>
        </is>
      </c>
      <c r="B45" s="65">
        <f>SUM(B42:B44)</f>
        <v/>
      </c>
      <c r="C45" s="65">
        <f>SUM(C42:C44)</f>
        <v/>
      </c>
      <c r="D45" s="65">
        <f>SUM(D42:D44)</f>
        <v/>
      </c>
      <c r="E45" s="65">
        <f>SUM(E42:E44)</f>
        <v/>
      </c>
      <c r="F45">
        <f>SUM(F42:F44)</f>
        <v/>
      </c>
      <c r="G45">
        <f>SUM(G42:G44)</f>
        <v/>
      </c>
      <c r="H45">
        <f>SUM(H42:H44)</f>
        <v/>
      </c>
    </row>
    <row r="47">
      <c r="A47" s="49" t="inlineStr">
        <is>
          <t>TOTAL LIABILITIES</t>
        </is>
      </c>
      <c r="B47" s="68">
        <f>B39+B45</f>
        <v/>
      </c>
      <c r="C47" s="68">
        <f>C39+C45</f>
        <v/>
      </c>
      <c r="D47" s="68">
        <f>D39+D45</f>
        <v/>
      </c>
      <c r="E47" s="68">
        <f>E39+E45</f>
        <v/>
      </c>
      <c r="F47">
        <f>F39+F45</f>
        <v/>
      </c>
      <c r="G47">
        <f>G39+G45</f>
        <v/>
      </c>
      <c r="H47">
        <f>H39+H45</f>
        <v/>
      </c>
    </row>
    <row r="49">
      <c r="A49" s="83" t="inlineStr">
        <is>
          <t>EQUITY</t>
        </is>
      </c>
      <c r="B49" s="83" t="n"/>
      <c r="C49" s="83" t="n"/>
      <c r="D49" s="83" t="n"/>
      <c r="E49" s="83" t="n"/>
      <c r="F49" s="83" t="n"/>
      <c r="G49" s="83" t="n"/>
      <c r="H49" s="83" t="n"/>
    </row>
    <row r="50">
      <c r="A50" t="inlineStr">
        <is>
          <t>Capital Stock</t>
        </is>
      </c>
      <c r="B50" s="64">
        <f>1000</f>
        <v/>
      </c>
      <c r="C50" s="64">
        <f>1000</f>
        <v/>
      </c>
      <c r="D50" s="64">
        <f>1000</f>
        <v/>
      </c>
      <c r="E50" s="64">
        <f>1000</f>
        <v/>
      </c>
      <c r="F50">
        <f>E50</f>
        <v/>
      </c>
      <c r="G50">
        <f>F50</f>
        <v/>
      </c>
      <c r="H50">
        <f>G50</f>
        <v/>
      </c>
    </row>
    <row r="51">
      <c r="A51" t="inlineStr">
        <is>
          <t>Paid-in Capital</t>
        </is>
      </c>
      <c r="B51" s="85" t="n"/>
      <c r="C51" s="85" t="n"/>
      <c r="D51" s="85" t="n"/>
      <c r="E51" s="64">
        <f>430103</f>
        <v/>
      </c>
      <c r="F51">
        <f>E51</f>
        <v/>
      </c>
      <c r="G51">
        <f>F51</f>
        <v/>
      </c>
      <c r="H51">
        <f>G51</f>
        <v/>
      </c>
    </row>
    <row r="52">
      <c r="A52" t="inlineStr">
        <is>
          <t>Retained Earnings</t>
        </is>
      </c>
      <c r="B52" s="85" t="n"/>
      <c r="C52" s="85" t="n"/>
      <c r="D52" s="85" t="n"/>
      <c r="E52" s="64">
        <f>15592600</f>
        <v/>
      </c>
      <c r="F52">
        <f>E52+'Income Statement'!F29-ABS(F53)</f>
        <v/>
      </c>
      <c r="G52">
        <f>F52+'Income Statement'!G29-ABS(G53)</f>
        <v/>
      </c>
      <c r="H52">
        <f>G52+'Income Statement'!H29-ABS(H53)</f>
        <v/>
      </c>
    </row>
    <row r="53">
      <c r="A53" t="inlineStr">
        <is>
          <t>Distributions</t>
        </is>
      </c>
      <c r="B53" s="85" t="n"/>
      <c r="C53" s="85" t="n"/>
      <c r="D53" s="85" t="n"/>
      <c r="E53" s="64">
        <f>-599256</f>
        <v/>
      </c>
      <c r="F53">
        <f>-Assumptions!D61*E55</f>
        <v/>
      </c>
      <c r="G53">
        <f>-Assumptions!E61*F55</f>
        <v/>
      </c>
      <c r="H53">
        <f>-Assumptions!F61*G55</f>
        <v/>
      </c>
    </row>
    <row r="54">
      <c r="A54" t="inlineStr">
        <is>
          <t>Equity (historical)</t>
        </is>
      </c>
      <c r="B54" s="64">
        <f>15922746</f>
        <v/>
      </c>
      <c r="C54" s="64">
        <f>17752258</f>
        <v/>
      </c>
      <c r="D54" s="64">
        <f>14537772</f>
        <v/>
      </c>
      <c r="E54" s="85" t="n"/>
    </row>
    <row r="55">
      <c r="A55" s="49" t="inlineStr">
        <is>
          <t>TOTAL EQUITY</t>
        </is>
      </c>
      <c r="B55" s="65">
        <f>B54</f>
        <v/>
      </c>
      <c r="C55" s="65">
        <f>C54</f>
        <v/>
      </c>
      <c r="D55" s="65">
        <f>D54</f>
        <v/>
      </c>
      <c r="E55" s="65">
        <f>E50+E51+E52+E53</f>
        <v/>
      </c>
      <c r="F55">
        <f>F50+F51+F52+F53</f>
        <v/>
      </c>
      <c r="G55">
        <f>G50+G51+G52+G53</f>
        <v/>
      </c>
      <c r="H55">
        <f>H50+H51+H52+H53</f>
        <v/>
      </c>
    </row>
    <row r="57">
      <c r="A57" s="49" t="inlineStr">
        <is>
          <t>TOTAL LIABILITIES &amp; EQUITY</t>
        </is>
      </c>
      <c r="B57" s="68">
        <f>B47+B55</f>
        <v/>
      </c>
      <c r="C57" s="68">
        <f>C47+C55</f>
        <v/>
      </c>
      <c r="D57" s="68">
        <f>D47+D55</f>
        <v/>
      </c>
      <c r="E57" s="68">
        <f>E47+E55</f>
        <v/>
      </c>
      <c r="F57">
        <f>F47+F55</f>
        <v/>
      </c>
      <c r="G57">
        <f>G47+G55</f>
        <v/>
      </c>
      <c r="H57">
        <f>H47+H55</f>
        <v/>
      </c>
    </row>
    <row r="60">
      <c r="A60" s="83" t="inlineStr">
        <is>
          <t>CHECK ROWS</t>
        </is>
      </c>
      <c r="B60" s="83" t="n"/>
      <c r="C60" s="83" t="n"/>
      <c r="D60" s="83" t="n"/>
      <c r="E60" s="83" t="n"/>
      <c r="F60" s="83" t="n"/>
      <c r="G60" s="83" t="n"/>
      <c r="H60" s="83" t="n"/>
    </row>
    <row r="61">
      <c r="A61" t="inlineStr">
        <is>
          <t>Balance Check (Assets - L&amp;E, must be 0)</t>
        </is>
      </c>
      <c r="B61" s="86">
        <f>B28-B57</f>
        <v/>
      </c>
      <c r="C61" s="86">
        <f>C28-C57</f>
        <v/>
      </c>
      <c r="D61" s="86">
        <f>D28-D57</f>
        <v/>
      </c>
      <c r="E61" s="86">
        <f>E28-E57</f>
        <v/>
      </c>
      <c r="F61">
        <f>F28-F57</f>
        <v/>
      </c>
      <c r="G61">
        <f>G28-G57</f>
        <v/>
      </c>
      <c r="H61">
        <f>H28-H57</f>
        <v/>
      </c>
    </row>
    <row r="62">
      <c r="A62" s="9" t="inlineStr">
        <is>
          <t>BS Cash vs CF Ending Cash (must be 0)</t>
        </is>
      </c>
      <c r="B62" s="87">
        <f>B7-'Cash Flow'!B35</f>
        <v/>
      </c>
      <c r="C62" s="87">
        <f>C7-'Cash Flow'!C35</f>
        <v/>
      </c>
      <c r="D62" s="87">
        <f>D7-'Cash Flow'!D35</f>
        <v/>
      </c>
      <c r="E62" s="87">
        <f>E7-'Cash Flow'!E35</f>
        <v/>
      </c>
      <c r="F62">
        <f>F7-'Cash Flow'!F35</f>
        <v/>
      </c>
      <c r="G62">
        <f>G7-'Cash Flow'!G35</f>
        <v/>
      </c>
      <c r="H62">
        <f>H7-'Cash Flow'!H35</f>
        <v/>
      </c>
    </row>
    <row r="63">
      <c r="A63" s="9" t="inlineStr">
        <is>
          <t>Net Income Variance IS vs BS (placeholder)</t>
        </is>
      </c>
      <c r="B63" s="87">
        <f>0</f>
        <v/>
      </c>
      <c r="C63" s="87">
        <f>0</f>
        <v/>
      </c>
      <c r="D63" s="87">
        <f>0</f>
        <v/>
      </c>
      <c r="E63" s="87">
        <f>0</f>
        <v/>
      </c>
      <c r="F63">
        <f>0</f>
        <v/>
      </c>
      <c r="G63">
        <f>0</f>
        <v/>
      </c>
      <c r="H63">
        <f>0</f>
        <v/>
      </c>
    </row>
  </sheetData>
  <mergeCells count="2">
    <mergeCell ref="A2:H2"/>
    <mergeCell ref="A1:H1"/>
  </mergeCells>
  <pageMargins left="0.75" right="0.75" top="1" bottom="1" header="0.5" footer="0.5"/>
  <legacyDrawing xmlns:r="http://schemas.openxmlformats.org/officeDocument/2006/relationships" r:id="anysvml"/>
</worksheet>
</file>

<file path=xl/worksheets/sheet91.xml><?xml version="1.0" encoding="utf-8"?>
<worksheet xmlns="http://schemas.openxmlformats.org/spreadsheetml/2006/main">
  <sheetPr>
    <tabColor rgb="001565C0"/>
    <outlinePr summaryBelow="1" summaryRight="1"/>
    <pageSetUpPr/>
  </sheetPr>
  <dimension ref="A1:H3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61" t="inlineStr">
        <is>
          <t>CASH FLOW STATEMENT</t>
        </is>
      </c>
    </row>
    <row r="2">
      <c r="A2" s="101" t="inlineStr">
        <is>
          <t>Meiborg Companies, Inc.</t>
        </is>
      </c>
    </row>
    <row r="4">
      <c r="A4" s="102" t="inlineStr">
        <is>
          <t>Line Item</t>
        </is>
      </c>
      <c r="B4" s="102" t="inlineStr">
        <is>
          <t>2022A</t>
        </is>
      </c>
      <c r="C4" s="102" t="inlineStr">
        <is>
          <t>2023A</t>
        </is>
      </c>
      <c r="D4" s="102" t="inlineStr">
        <is>
          <t>2024A</t>
        </is>
      </c>
      <c r="E4" s="102" t="inlineStr">
        <is>
          <t>2025A</t>
        </is>
      </c>
      <c r="F4" s="102" t="inlineStr">
        <is>
          <t>2025E</t>
        </is>
      </c>
      <c r="G4" s="102" t="inlineStr">
        <is>
          <t>2026E</t>
        </is>
      </c>
      <c r="H4" s="102" t="inlineStr">
        <is>
          <t>2027E</t>
        </is>
      </c>
    </row>
    <row r="6">
      <c r="A6" s="103" t="inlineStr">
        <is>
          <t>OPERATING ACTIVITIES</t>
        </is>
      </c>
      <c r="B6" s="104" t="n"/>
      <c r="C6" s="104" t="n"/>
      <c r="D6" s="104" t="n"/>
      <c r="E6" s="104" t="n"/>
      <c r="F6" s="104" t="n"/>
      <c r="G6" s="104" t="n"/>
      <c r="H6" s="104" t="n"/>
    </row>
    <row r="7">
      <c r="A7" t="inlineStr">
        <is>
          <t>Net Income</t>
        </is>
      </c>
      <c r="B7" s="77">
        <f>'Income Statement'!B29</f>
        <v/>
      </c>
      <c r="C7" s="77">
        <f>'Income Statement'!C29</f>
        <v/>
      </c>
      <c r="D7" s="77">
        <f>'Income Statement'!D29</f>
        <v/>
      </c>
      <c r="E7" s="77">
        <f>'Income Statement'!E29</f>
        <v/>
      </c>
      <c r="F7" s="77">
        <f>'Income Statement'!F29</f>
        <v/>
      </c>
      <c r="G7" s="77">
        <f>'Income Statement'!G29</f>
        <v/>
      </c>
      <c r="H7" s="77">
        <f>'Income Statement'!H29</f>
        <v/>
      </c>
    </row>
    <row r="8">
      <c r="A8" s="89" t="inlineStr">
        <is>
          <t>Adjustments for Non-Cash Items:</t>
        </is>
      </c>
    </row>
    <row r="9">
      <c r="A9" t="inlineStr">
        <is>
          <t xml:space="preserve">  Depreciation &amp; Amortization</t>
        </is>
      </c>
      <c r="B9" s="77">
        <f>-'Income Statement'!B17</f>
        <v/>
      </c>
      <c r="C9" s="77">
        <f>-'Income Statement'!C17</f>
        <v/>
      </c>
      <c r="D9" s="77">
        <f>-'Income Statement'!D17</f>
        <v/>
      </c>
      <c r="E9" s="77">
        <f>-'Income Statement'!E17</f>
        <v/>
      </c>
      <c r="F9" s="77">
        <f>-'Income Statement'!F17</f>
        <v/>
      </c>
      <c r="G9" s="77">
        <f>-'Income Statement'!G17</f>
        <v/>
      </c>
      <c r="H9" s="77">
        <f>-'Income Statement'!H17</f>
        <v/>
      </c>
    </row>
    <row r="10">
      <c r="A10" t="inlineStr">
        <is>
          <t xml:space="preserve">  (Gain) / Loss on Asset Sales</t>
        </is>
      </c>
      <c r="B10" s="77">
        <f>-'Income Statement'!B24</f>
        <v/>
      </c>
      <c r="C10" s="77">
        <f>-'Income Statement'!C24</f>
        <v/>
      </c>
      <c r="D10" s="77">
        <f>-'Income Statement'!D24</f>
        <v/>
      </c>
      <c r="E10" s="77">
        <f>-'Income Statement'!E24</f>
        <v/>
      </c>
      <c r="F10" s="77">
        <f>-'Income Statement'!F24</f>
        <v/>
      </c>
      <c r="G10" s="77">
        <f>-'Income Statement'!G24</f>
        <v/>
      </c>
      <c r="H10" s="77">
        <f>-'Income Statement'!H24</f>
        <v/>
      </c>
    </row>
    <row r="11">
      <c r="A11" s="89" t="inlineStr">
        <is>
          <t>Changes in Working Capital:</t>
        </is>
      </c>
    </row>
    <row r="12">
      <c r="A12" t="inlineStr">
        <is>
          <t xml:space="preserve">  (Increase) / Decrease in A/R</t>
        </is>
      </c>
      <c r="B12" s="76">
        <f>0</f>
        <v/>
      </c>
      <c r="C12" s="77">
        <f>'Balance Sheet'!B8-'Balance Sheet'!C8</f>
        <v/>
      </c>
      <c r="D12" s="77">
        <f>'Balance Sheet'!C8-'Balance Sheet'!D8</f>
        <v/>
      </c>
      <c r="E12" s="77">
        <f>'Balance Sheet'!D8-'Balance Sheet'!E8</f>
        <v/>
      </c>
      <c r="F12" s="77">
        <f>'Balance Sheet'!E8-'Balance Sheet'!F8</f>
        <v/>
      </c>
      <c r="G12" s="77">
        <f>'Balance Sheet'!F8-'Balance Sheet'!G8</f>
        <v/>
      </c>
      <c r="H12" s="77">
        <f>'Balance Sheet'!G8-'Balance Sheet'!H8</f>
        <v/>
      </c>
    </row>
    <row r="13">
      <c r="A13" t="inlineStr">
        <is>
          <t xml:space="preserve">  (Increase) / Decrease in Inventory</t>
        </is>
      </c>
      <c r="B13" s="76">
        <f>0</f>
        <v/>
      </c>
      <c r="C13" s="77">
        <f>'Balance Sheet'!B10-'Balance Sheet'!C10</f>
        <v/>
      </c>
      <c r="D13" s="77">
        <f>'Balance Sheet'!C10-'Balance Sheet'!D10</f>
        <v/>
      </c>
      <c r="E13" s="77">
        <f>'Balance Sheet'!D10-'Balance Sheet'!E10</f>
        <v/>
      </c>
      <c r="F13" s="77">
        <f>'Balance Sheet'!E10-'Balance Sheet'!F10</f>
        <v/>
      </c>
      <c r="G13" s="77">
        <f>'Balance Sheet'!F10-'Balance Sheet'!G10</f>
        <v/>
      </c>
      <c r="H13" s="77">
        <f>'Balance Sheet'!G10-'Balance Sheet'!H10</f>
        <v/>
      </c>
    </row>
    <row r="14">
      <c r="A14" t="inlineStr">
        <is>
          <t xml:space="preserve">  (Increase) / Decrease in Other CA</t>
        </is>
      </c>
      <c r="B14" s="76">
        <f>0</f>
        <v/>
      </c>
      <c r="C14" s="77">
        <f>'Balance Sheet'!B12-'Balance Sheet'!C12</f>
        <v/>
      </c>
      <c r="D14" s="77">
        <f>'Balance Sheet'!C12-'Balance Sheet'!D12</f>
        <v/>
      </c>
      <c r="E14" s="77">
        <f>'Balance Sheet'!D12-'Balance Sheet'!E12</f>
        <v/>
      </c>
      <c r="F14" s="77">
        <f>'Balance Sheet'!E12-'Balance Sheet'!F12</f>
        <v/>
      </c>
      <c r="G14" s="77">
        <f>'Balance Sheet'!F12-'Balance Sheet'!G12</f>
        <v/>
      </c>
      <c r="H14" s="77">
        <f>'Balance Sheet'!G12-'Balance Sheet'!H12</f>
        <v/>
      </c>
    </row>
    <row r="15">
      <c r="A15" t="inlineStr">
        <is>
          <t xml:space="preserve">  Increase / (Decrease) in A/P</t>
        </is>
      </c>
      <c r="B15" s="76">
        <f>0</f>
        <v/>
      </c>
      <c r="C15" s="77">
        <f>'Balance Sheet'!C36-'Balance Sheet'!B36</f>
        <v/>
      </c>
      <c r="D15" s="77">
        <f>'Balance Sheet'!D36-'Balance Sheet'!C36</f>
        <v/>
      </c>
      <c r="E15" s="77">
        <f>'Balance Sheet'!E36-'Balance Sheet'!D36</f>
        <v/>
      </c>
      <c r="F15" s="77">
        <f>'Balance Sheet'!F36-'Balance Sheet'!E36</f>
        <v/>
      </c>
      <c r="G15" s="77">
        <f>'Balance Sheet'!G36-'Balance Sheet'!F36</f>
        <v/>
      </c>
      <c r="H15" s="77">
        <f>'Balance Sheet'!H36-'Balance Sheet'!G36</f>
        <v/>
      </c>
    </row>
    <row r="16">
      <c r="A16" t="inlineStr">
        <is>
          <t xml:space="preserve">  Increase / (Decrease) in Accrued Liab</t>
        </is>
      </c>
      <c r="B16" s="76">
        <f>0</f>
        <v/>
      </c>
      <c r="C16" s="77">
        <f>'Balance Sheet'!C38-'Balance Sheet'!B38</f>
        <v/>
      </c>
      <c r="D16" s="77">
        <f>'Balance Sheet'!D38-'Balance Sheet'!C38</f>
        <v/>
      </c>
      <c r="E16" s="77">
        <f>'Balance Sheet'!E38-'Balance Sheet'!D38</f>
        <v/>
      </c>
      <c r="F16" s="77">
        <f>'Balance Sheet'!F38-'Balance Sheet'!E38</f>
        <v/>
      </c>
      <c r="G16" s="77">
        <f>'Balance Sheet'!G38-'Balance Sheet'!F38</f>
        <v/>
      </c>
      <c r="H16" s="77">
        <f>'Balance Sheet'!H38-'Balance Sheet'!G38</f>
        <v/>
      </c>
    </row>
    <row r="17">
      <c r="A17" s="1" t="inlineStr">
        <is>
          <t>Cash from Operations</t>
        </is>
      </c>
      <c r="B17" s="105">
        <f>SUM(B7:B16)</f>
        <v/>
      </c>
      <c r="C17" s="105">
        <f>SUM(C7:C16)</f>
        <v/>
      </c>
      <c r="D17" s="105">
        <f>SUM(D7:D16)</f>
        <v/>
      </c>
      <c r="E17" s="105">
        <f>SUM(E7:E16)</f>
        <v/>
      </c>
      <c r="F17" s="117">
        <f>SUM(F7:F16)</f>
        <v/>
      </c>
      <c r="G17" s="117">
        <f>SUM(G7:G16)</f>
        <v/>
      </c>
      <c r="H17" s="117">
        <f>SUM(H7:H16)</f>
        <v/>
      </c>
    </row>
    <row r="19">
      <c r="A19" s="103" t="inlineStr">
        <is>
          <t>INVESTING ACTIVITIES</t>
        </is>
      </c>
      <c r="B19" s="104" t="n"/>
      <c r="C19" s="104" t="n"/>
      <c r="D19" s="104" t="n"/>
      <c r="E19" s="104" t="n"/>
      <c r="F19" s="104" t="n"/>
      <c r="G19" s="104" t="n"/>
      <c r="H19" s="104" t="n"/>
    </row>
    <row r="20">
      <c r="A20" t="inlineStr">
        <is>
          <t>Capital Expenditures (CapEx)</t>
        </is>
      </c>
      <c r="B20" s="76">
        <f>0</f>
        <v/>
      </c>
      <c r="C20" s="77">
        <f>-('Balance Sheet'!C18-'Balance Sheet'!B18-'Income Statement'!C17)</f>
        <v/>
      </c>
      <c r="D20" s="77">
        <f>-('Balance Sheet'!D18-'Balance Sheet'!C18-'Income Statement'!D17)</f>
        <v/>
      </c>
      <c r="E20" s="77">
        <f>-('Balance Sheet'!E18-'Balance Sheet'!D18-'Income Statement'!E17)</f>
        <v/>
      </c>
      <c r="F20" s="77">
        <f>-Assumptions!D17*Assumptions!D39</f>
        <v/>
      </c>
      <c r="G20" s="77">
        <f>-Assumptions!E17*Assumptions!E39</f>
        <v/>
      </c>
      <c r="H20" s="77">
        <f>-Assumptions!F17*Assumptions!F39</f>
        <v/>
      </c>
    </row>
    <row r="21">
      <c r="A21" t="inlineStr">
        <is>
          <t>Proceeds from Asset Sales</t>
        </is>
      </c>
      <c r="B21" s="76">
        <f>0</f>
        <v/>
      </c>
      <c r="C21" s="76">
        <f>0</f>
        <v/>
      </c>
      <c r="D21" s="76">
        <f>0</f>
        <v/>
      </c>
      <c r="E21" s="76">
        <f>0</f>
        <v/>
      </c>
      <c r="F21" s="117">
        <f>0</f>
        <v/>
      </c>
      <c r="G21" s="117">
        <f>0</f>
        <v/>
      </c>
      <c r="H21" s="117">
        <f>0</f>
        <v/>
      </c>
    </row>
    <row r="22">
      <c r="A22" t="inlineStr">
        <is>
          <t>Change in Notes Receivable</t>
        </is>
      </c>
      <c r="B22" s="76">
        <f>0</f>
        <v/>
      </c>
      <c r="C22" s="77">
        <f>'Balance Sheet'!B25-'Balance Sheet'!C25</f>
        <v/>
      </c>
      <c r="D22" s="77">
        <f>'Balance Sheet'!C25-'Balance Sheet'!D25</f>
        <v/>
      </c>
      <c r="E22" s="77">
        <f>'Balance Sheet'!D25-('Balance Sheet'!E21+'Balance Sheet'!E22)</f>
        <v/>
      </c>
      <c r="F22" s="117">
        <f>0</f>
        <v/>
      </c>
      <c r="G22" s="117">
        <f>0</f>
        <v/>
      </c>
      <c r="H22" s="117">
        <f>0</f>
        <v/>
      </c>
    </row>
    <row r="23">
      <c r="A23" s="1" t="inlineStr">
        <is>
          <t>Cash from Investing</t>
        </is>
      </c>
      <c r="B23" s="105">
        <f>SUM(B20:B22)</f>
        <v/>
      </c>
      <c r="C23" s="105">
        <f>SUM(C20:C22)</f>
        <v/>
      </c>
      <c r="D23" s="105">
        <f>SUM(D20:D22)</f>
        <v/>
      </c>
      <c r="E23" s="105">
        <f>SUM(E20:E22)</f>
        <v/>
      </c>
      <c r="F23" s="117">
        <f>SUM(F20:F22)</f>
        <v/>
      </c>
      <c r="G23" s="117">
        <f>SUM(G20:G22)</f>
        <v/>
      </c>
      <c r="H23" s="117">
        <f>SUM(H20:H22)</f>
        <v/>
      </c>
    </row>
    <row r="25">
      <c r="A25" s="103" t="inlineStr">
        <is>
          <t>FINANCING ACTIVITIES</t>
        </is>
      </c>
      <c r="B25" s="104" t="n"/>
      <c r="C25" s="104" t="n"/>
      <c r="D25" s="104" t="n"/>
      <c r="E25" s="104" t="n"/>
      <c r="F25" s="104" t="n"/>
      <c r="G25" s="104" t="n"/>
      <c r="H25" s="104" t="n"/>
    </row>
    <row r="26">
      <c r="A26" t="inlineStr">
        <is>
          <t>Net Borrowings / (Repayments)</t>
        </is>
      </c>
      <c r="B26" s="76">
        <f>0</f>
        <v/>
      </c>
      <c r="C26" s="77">
        <f>('Balance Sheet'!C33+'Balance Sheet'!C42+'Balance Sheet'!C32)-('Balance Sheet'!B33+'Balance Sheet'!B42+'Balance Sheet'!B32)</f>
        <v/>
      </c>
      <c r="D26" s="77">
        <f>('Balance Sheet'!D33+'Balance Sheet'!D42+'Balance Sheet'!D32)-('Balance Sheet'!C33+'Balance Sheet'!C42+'Balance Sheet'!C32)</f>
        <v/>
      </c>
      <c r="E26" s="77">
        <f>('Balance Sheet'!E33+'Balance Sheet'!E42+'Balance Sheet'!E32)-('Balance Sheet'!D33+'Balance Sheet'!D42+'Balance Sheet'!D32)</f>
        <v/>
      </c>
      <c r="F26" s="77">
        <f>Assumptions!D42-Assumptions!D41</f>
        <v/>
      </c>
      <c r="G26" s="77">
        <f>Assumptions!E42-Assumptions!E41</f>
        <v/>
      </c>
      <c r="H26" s="77">
        <f>Assumptions!F42-Assumptions!F41</f>
        <v/>
      </c>
    </row>
    <row r="27">
      <c r="A27" t="inlineStr">
        <is>
          <t>Change in Capital Leases</t>
        </is>
      </c>
      <c r="B27" s="76">
        <f>0</f>
        <v/>
      </c>
      <c r="C27" s="76">
        <f>0</f>
        <v/>
      </c>
      <c r="D27" s="76">
        <f>0</f>
        <v/>
      </c>
      <c r="E27" s="77">
        <f>'Balance Sheet'!E34+'Balance Sheet'!E43</f>
        <v/>
      </c>
      <c r="F27" s="77">
        <f>('Balance Sheet'!F34+'Balance Sheet'!F43)-('Balance Sheet'!E34+'Balance Sheet'!E43)</f>
        <v/>
      </c>
      <c r="G27" s="77">
        <f>('Balance Sheet'!G34+'Balance Sheet'!G43)-('Balance Sheet'!F34+'Balance Sheet'!F43)</f>
        <v/>
      </c>
      <c r="H27" s="77">
        <f>('Balance Sheet'!H34+'Balance Sheet'!H43)-('Balance Sheet'!G34+'Balance Sheet'!G43)</f>
        <v/>
      </c>
    </row>
    <row r="28">
      <c r="A28" t="inlineStr">
        <is>
          <t>Change in Operating Leases</t>
        </is>
      </c>
      <c r="B28" s="76">
        <f>0</f>
        <v/>
      </c>
      <c r="C28" s="76">
        <f>0</f>
        <v/>
      </c>
      <c r="D28" s="76">
        <f>0</f>
        <v/>
      </c>
      <c r="E28" s="77">
        <f>'Balance Sheet'!E35+'Balance Sheet'!E44</f>
        <v/>
      </c>
      <c r="F28" s="77">
        <f>('Balance Sheet'!F35+'Balance Sheet'!F44)-('Balance Sheet'!E35+'Balance Sheet'!E44)</f>
        <v/>
      </c>
      <c r="G28" s="77">
        <f>('Balance Sheet'!G35+'Balance Sheet'!G44)-('Balance Sheet'!F35+'Balance Sheet'!F44)</f>
        <v/>
      </c>
      <c r="H28" s="77">
        <f>('Balance Sheet'!H35+'Balance Sheet'!H44)-('Balance Sheet'!G35+'Balance Sheet'!G44)</f>
        <v/>
      </c>
    </row>
    <row r="29">
      <c r="A29" t="inlineStr">
        <is>
          <t>Distributions</t>
        </is>
      </c>
      <c r="B29" s="76">
        <f>0</f>
        <v/>
      </c>
      <c r="C29" s="77">
        <f>'Balance Sheet'!B54+'Income Statement'!C29-'Balance Sheet'!C54</f>
        <v/>
      </c>
      <c r="D29" s="77">
        <f>'Balance Sheet'!C54+'Income Statement'!D29-'Balance Sheet'!D54</f>
        <v/>
      </c>
      <c r="E29" s="77">
        <f>'Balance Sheet'!E53</f>
        <v/>
      </c>
      <c r="F29" s="77">
        <f>-'Income Statement'!F29*Assumptions!D61</f>
        <v/>
      </c>
      <c r="G29" s="77">
        <f>-'Income Statement'!G29*Assumptions!E61</f>
        <v/>
      </c>
      <c r="H29" s="77">
        <f>-'Income Statement'!H29*Assumptions!F61</f>
        <v/>
      </c>
    </row>
    <row r="30">
      <c r="A30" s="1" t="inlineStr">
        <is>
          <t>Cash from Financing</t>
        </is>
      </c>
      <c r="B30" s="105">
        <f>SUM(B26:B29)</f>
        <v/>
      </c>
      <c r="C30" s="105">
        <f>SUM(C26:C29)</f>
        <v/>
      </c>
      <c r="D30" s="105">
        <f>SUM(D26:D29)</f>
        <v/>
      </c>
      <c r="E30" s="105">
        <f>SUM(E26:E29)</f>
        <v/>
      </c>
      <c r="F30" s="117">
        <f>SUM(F26:F29)</f>
        <v/>
      </c>
      <c r="G30" s="117">
        <f>SUM(G26:G29)</f>
        <v/>
      </c>
      <c r="H30" s="117">
        <f>SUM(H26:H29)</f>
        <v/>
      </c>
    </row>
    <row r="32">
      <c r="A32" s="103" t="inlineStr">
        <is>
          <t>CASH RECONCILIATION</t>
        </is>
      </c>
      <c r="B32" s="104" t="n"/>
      <c r="C32" s="104" t="n"/>
      <c r="D32" s="104" t="n"/>
      <c r="E32" s="104" t="n"/>
      <c r="F32" s="104" t="n"/>
      <c r="G32" s="104" t="n"/>
      <c r="H32" s="104" t="n"/>
    </row>
    <row r="33">
      <c r="A33" t="inlineStr">
        <is>
          <t>Net Change in Cash</t>
        </is>
      </c>
      <c r="B33" s="76">
        <f>B17+B23+B30</f>
        <v/>
      </c>
      <c r="C33" s="76">
        <f>C17+C23+C30</f>
        <v/>
      </c>
      <c r="D33" s="76">
        <f>D17+D23+D30</f>
        <v/>
      </c>
      <c r="E33" s="76">
        <f>E17+E23+E30</f>
        <v/>
      </c>
      <c r="F33" s="117">
        <f>F17+F23+F30</f>
        <v/>
      </c>
      <c r="G33" s="117">
        <f>G17+G23+G30</f>
        <v/>
      </c>
      <c r="H33" s="117">
        <f>H17+H23+H30</f>
        <v/>
      </c>
    </row>
    <row r="34">
      <c r="A34" t="inlineStr">
        <is>
          <t>Beginning Cash</t>
        </is>
      </c>
      <c r="B34" s="5">
        <f>1136195</f>
        <v/>
      </c>
      <c r="C34" s="77">
        <f>'Balance Sheet'!B7</f>
        <v/>
      </c>
      <c r="D34" s="77">
        <f>'Balance Sheet'!C7</f>
        <v/>
      </c>
      <c r="E34" s="77">
        <f>'Balance Sheet'!D7</f>
        <v/>
      </c>
      <c r="F34" s="117">
        <f>E35</f>
        <v/>
      </c>
      <c r="G34" s="117">
        <f>F35</f>
        <v/>
      </c>
      <c r="H34" s="117">
        <f>G35</f>
        <v/>
      </c>
    </row>
    <row r="35">
      <c r="A35" s="1" t="inlineStr">
        <is>
          <t>Ending Cash</t>
        </is>
      </c>
      <c r="B35" s="105">
        <f>B34+B33</f>
        <v/>
      </c>
      <c r="C35" s="105">
        <f>C34+C33</f>
        <v/>
      </c>
      <c r="D35" s="105">
        <f>D34+D33</f>
        <v/>
      </c>
      <c r="E35" s="105">
        <f>E34+E33</f>
        <v/>
      </c>
      <c r="F35" s="117">
        <f>F34+F33</f>
        <v/>
      </c>
      <c r="G35" s="117">
        <f>G34+G33</f>
        <v/>
      </c>
      <c r="H35" s="117">
        <f>H34+H33</f>
        <v/>
      </c>
    </row>
    <row r="37">
      <c r="A37" s="103" t="inlineStr">
        <is>
          <t>CHECK ROWS</t>
        </is>
      </c>
      <c r="B37" s="104" t="n"/>
      <c r="C37" s="104" t="n"/>
      <c r="D37" s="104" t="n"/>
      <c r="E37" s="104" t="n"/>
      <c r="F37" s="104" t="n"/>
      <c r="G37" s="104" t="n"/>
      <c r="H37" s="104" t="n"/>
    </row>
    <row r="38">
      <c r="A38" t="inlineStr">
        <is>
          <t>CF Ending Cash vs BS Cash (must be 0)</t>
        </is>
      </c>
      <c r="B38" s="77">
        <f>B35-'Balance Sheet'!B7</f>
        <v/>
      </c>
      <c r="C38" s="77">
        <f>C35-'Balance Sheet'!C7</f>
        <v/>
      </c>
      <c r="D38" s="77">
        <f>D35-'Balance Sheet'!D7</f>
        <v/>
      </c>
      <c r="E38" s="77">
        <f>E35-'Balance Sheet'!E7</f>
        <v/>
      </c>
      <c r="F38" s="77">
        <f>F35-'Balance Sheet'!F7</f>
        <v/>
      </c>
      <c r="G38" s="77">
        <f>G35-'Balance Sheet'!G7</f>
        <v/>
      </c>
      <c r="H38" s="77">
        <f>H35-'Balance Sheet'!H7</f>
        <v/>
      </c>
    </row>
    <row r="39">
      <c r="A39" t="inlineStr">
        <is>
          <t>Net Change Reconciliation (must be 0)</t>
        </is>
      </c>
      <c r="B39" s="76">
        <f>0</f>
        <v/>
      </c>
      <c r="C39" s="77">
        <f>'Balance Sheet'!C7-'Balance Sheet'!B7-C33</f>
        <v/>
      </c>
      <c r="D39" s="77">
        <f>'Balance Sheet'!D7-'Balance Sheet'!C7-D33</f>
        <v/>
      </c>
      <c r="E39" s="77">
        <f>'Balance Sheet'!E7-'Balance Sheet'!D7-E33</f>
        <v/>
      </c>
      <c r="F39" s="77">
        <f>'Balance Sheet'!F7-'Balance Sheet'!E7-F33</f>
        <v/>
      </c>
      <c r="G39" s="77">
        <f>'Balance Sheet'!G7-'Balance Sheet'!F7-G33</f>
        <v/>
      </c>
      <c r="H39" s="77">
        <f>'Balance Sheet'!H7-'Balance Sheet'!G7-H33</f>
        <v/>
      </c>
    </row>
  </sheetData>
  <mergeCells count="1">
    <mergeCell ref="A1:H1"/>
  </mergeCells>
  <pageMargins left="0.75" right="0.75" top="1" bottom="1" header="0.5" footer="0.5"/>
  <legacyDrawing xmlns:r="http://schemas.openxmlformats.org/officeDocument/2006/relationships" r:id="anysvml"/>
</worksheet>
</file>

<file path=xl/worksheets/sheet92.xml><?xml version="1.0" encoding="utf-8"?>
<worksheet xmlns="http://schemas.openxmlformats.org/spreadsheetml/2006/main">
  <sheetPr>
    <tabColor rgb="00E65100"/>
    <outlinePr summaryBelow="1" summaryRight="1"/>
    <pageSetUpPr/>
  </sheetPr>
  <dimension ref="A1:F6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0" customWidth="1" min="1" max="1"/>
    <col width="38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106" t="inlineStr">
        <is>
          <t>ASSUMPTIONS &amp; DRIVERS</t>
        </is>
      </c>
    </row>
    <row r="2">
      <c r="A2" s="62" t="inlineStr">
        <is>
          <t>Meiborg Companies, Inc.</t>
        </is>
      </c>
    </row>
    <row r="3">
      <c r="A3" s="1" t="inlineStr">
        <is>
          <t>Scenario:</t>
        </is>
      </c>
      <c r="C3" s="1" t="inlineStr">
        <is>
          <t>Select:</t>
        </is>
      </c>
      <c r="D3" s="107" t="n">
        <v>2</v>
      </c>
    </row>
    <row r="5">
      <c r="A5" s="1" t="inlineStr">
        <is>
          <t>Scenario</t>
        </is>
      </c>
      <c r="B5" s="1" t="inlineStr">
        <is>
          <t>Description</t>
        </is>
      </c>
      <c r="C5" s="1" t="inlineStr">
        <is>
          <t>ID</t>
        </is>
      </c>
    </row>
    <row r="6">
      <c r="A6" t="inlineStr">
        <is>
          <t>Downside</t>
        </is>
      </c>
      <c r="B6" t="inlineStr">
        <is>
          <t>Conservative growth, higher costs</t>
        </is>
      </c>
      <c r="C6" s="4" t="n">
        <v>1</v>
      </c>
    </row>
    <row r="7">
      <c r="A7" t="inlineStr">
        <is>
          <t>Base</t>
        </is>
      </c>
      <c r="B7" t="inlineStr">
        <is>
          <t>Management case</t>
        </is>
      </c>
      <c r="C7" s="4" t="n">
        <v>2</v>
      </c>
    </row>
    <row r="8">
      <c r="A8" t="inlineStr">
        <is>
          <t>Upside</t>
        </is>
      </c>
      <c r="B8" t="inlineStr">
        <is>
          <t>Aggressive growth, cost efficiencies</t>
        </is>
      </c>
      <c r="C8" s="4" t="n">
        <v>3</v>
      </c>
    </row>
    <row r="10">
      <c r="A10" s="2" t="inlineStr">
        <is>
          <t>REVENUE DRIVERS</t>
        </is>
      </c>
    </row>
    <row r="11">
      <c r="A11" s="108" t="inlineStr">
        <is>
          <t>Driver</t>
        </is>
      </c>
      <c r="B11" s="108" t="inlineStr">
        <is>
          <t>Units</t>
        </is>
      </c>
      <c r="C11" s="108" t="inlineStr">
        <is>
          <t>2025A (base)</t>
        </is>
      </c>
      <c r="D11" s="108" t="inlineStr">
        <is>
          <t>2025E</t>
        </is>
      </c>
      <c r="E11" s="108" t="inlineStr">
        <is>
          <t>2026E</t>
        </is>
      </c>
      <c r="F11" s="108" t="inlineStr">
        <is>
          <t>2027E</t>
        </is>
      </c>
    </row>
    <row r="12">
      <c r="A12" t="inlineStr">
        <is>
          <t>Revenue Growth Rate - Downside</t>
        </is>
      </c>
      <c r="B12" t="inlineStr">
        <is>
          <t>%</t>
        </is>
      </c>
      <c r="C12">
        <f>"-"</f>
        <v/>
      </c>
      <c r="D12" s="109" t="n">
        <v>0.03</v>
      </c>
      <c r="E12" s="109" t="n">
        <v>0.02</v>
      </c>
      <c r="F12" s="109" t="n">
        <v>0.02</v>
      </c>
    </row>
    <row r="13">
      <c r="A13" t="inlineStr">
        <is>
          <t>Revenue Growth Rate - Base</t>
        </is>
      </c>
      <c r="B13" t="inlineStr">
        <is>
          <t>%</t>
        </is>
      </c>
      <c r="C13">
        <f>"-"</f>
        <v/>
      </c>
      <c r="D13" s="109" t="n">
        <v>0.05</v>
      </c>
      <c r="E13" s="109" t="n">
        <v>0.04</v>
      </c>
      <c r="F13" s="109" t="n">
        <v>0.04</v>
      </c>
    </row>
    <row r="14">
      <c r="A14" t="inlineStr">
        <is>
          <t>Revenue Growth Rate - Upside</t>
        </is>
      </c>
      <c r="B14" t="inlineStr">
        <is>
          <t>%</t>
        </is>
      </c>
      <c r="C14">
        <f>"-"</f>
        <v/>
      </c>
      <c r="D14" s="109" t="n">
        <v>0.08</v>
      </c>
      <c r="E14" s="109" t="n">
        <v>0.06</v>
      </c>
      <c r="F14" s="109" t="n">
        <v>0.05</v>
      </c>
    </row>
    <row r="15">
      <c r="A15" t="inlineStr">
        <is>
          <t>Active Revenue Growth</t>
        </is>
      </c>
      <c r="B15" t="inlineStr">
        <is>
          <t>%</t>
        </is>
      </c>
      <c r="C15">
        <f>"-"</f>
        <v/>
      </c>
      <c r="D15" s="110">
        <f>CHOOSE($D$3,D12,D13,D14)</f>
        <v/>
      </c>
      <c r="E15" s="110">
        <f>CHOOSE($D$3,E12,E13,E14)</f>
        <v/>
      </c>
      <c r="F15" s="110">
        <f>CHOOSE($D$3,F12,F13,F14)</f>
        <v/>
      </c>
    </row>
    <row r="16">
      <c r="A16" t="inlineStr">
        <is>
          <t>Prior Year Revenue</t>
        </is>
      </c>
      <c r="B16" t="inlineStr">
        <is>
          <t>$</t>
        </is>
      </c>
      <c r="C16" s="5" t="n">
        <v>109431743</v>
      </c>
      <c r="D16" s="76">
        <f>C16</f>
        <v/>
      </c>
      <c r="E16" s="76">
        <f>D17</f>
        <v/>
      </c>
      <c r="F16" s="76">
        <f>E17</f>
        <v/>
      </c>
    </row>
    <row r="17">
      <c r="A17" t="inlineStr">
        <is>
          <t>Projected Revenue</t>
        </is>
      </c>
      <c r="B17" t="inlineStr">
        <is>
          <t>$</t>
        </is>
      </c>
      <c r="C17" s="5" t="n">
        <v>109431743</v>
      </c>
      <c r="D17" s="111">
        <f>D16*(1+D15)</f>
        <v/>
      </c>
      <c r="E17" s="111">
        <f>E16*(1+E15)</f>
        <v/>
      </c>
      <c r="F17" s="111">
        <f>F16*(1+F15)</f>
        <v/>
      </c>
    </row>
    <row r="22">
      <c r="A22" s="2" t="inlineStr">
        <is>
          <t>MARGIN DRIVERS</t>
        </is>
      </c>
    </row>
    <row r="23">
      <c r="A23" s="108" t="inlineStr">
        <is>
          <t>Driver</t>
        </is>
      </c>
      <c r="B23" s="108" t="inlineStr">
        <is>
          <t>Units</t>
        </is>
      </c>
      <c r="C23" s="108" t="inlineStr">
        <is>
          <t>2025A (base)</t>
        </is>
      </c>
      <c r="D23" s="108" t="inlineStr">
        <is>
          <t>2025E</t>
        </is>
      </c>
      <c r="E23" s="108" t="inlineStr">
        <is>
          <t>2026E</t>
        </is>
      </c>
      <c r="F23" s="108" t="inlineStr">
        <is>
          <t>2027E</t>
        </is>
      </c>
    </row>
    <row r="24">
      <c r="A24" t="inlineStr">
        <is>
          <t>Gross Margin % - Downside</t>
        </is>
      </c>
      <c r="B24" t="inlineStr">
        <is>
          <t>%</t>
        </is>
      </c>
      <c r="C24" s="112" t="n">
        <v>0.3743921176509087</v>
      </c>
      <c r="D24" s="109" t="n">
        <v>0.36</v>
      </c>
      <c r="E24" s="109" t="n">
        <v>0.35</v>
      </c>
      <c r="F24" s="109" t="n">
        <v>0.35</v>
      </c>
    </row>
    <row r="25">
      <c r="A25" t="inlineStr">
        <is>
          <t>Gross Margin % - Base</t>
        </is>
      </c>
      <c r="B25" t="inlineStr">
        <is>
          <t>%</t>
        </is>
      </c>
      <c r="C25" s="112" t="n">
        <v>0.3743921176509087</v>
      </c>
      <c r="D25" s="109" t="n">
        <v>0.3743921176509087</v>
      </c>
      <c r="E25" s="109" t="n">
        <v>0.37</v>
      </c>
      <c r="F25" s="109" t="n">
        <v>0.37</v>
      </c>
    </row>
    <row r="26">
      <c r="A26" t="inlineStr">
        <is>
          <t>Gross Margin % - Upside</t>
        </is>
      </c>
      <c r="B26" t="inlineStr">
        <is>
          <t>%</t>
        </is>
      </c>
      <c r="C26" s="112" t="n">
        <v>0.3743921176509087</v>
      </c>
      <c r="D26" s="109" t="n">
        <v>0.38</v>
      </c>
      <c r="E26" s="109" t="n">
        <v>0.38</v>
      </c>
      <c r="F26" s="109" t="n">
        <v>0.39</v>
      </c>
    </row>
    <row r="27">
      <c r="A27" t="inlineStr">
        <is>
          <t>Active Gross Margin</t>
        </is>
      </c>
      <c r="B27" t="inlineStr">
        <is>
          <t>%</t>
        </is>
      </c>
      <c r="C27" s="112">
        <f>0.3743921176509087</f>
        <v/>
      </c>
      <c r="D27" s="113">
        <f>CHOOSE($D$3,D24,D25,D26)</f>
        <v/>
      </c>
      <c r="E27" s="113">
        <f>CHOOSE($D$3,E24,E25,E26)</f>
        <v/>
      </c>
      <c r="F27" s="113">
        <f>CHOOSE($D$3,F24,F25,F26)</f>
        <v/>
      </c>
    </row>
    <row r="28">
      <c r="A28" t="inlineStr">
        <is>
          <t>OpEx % of Revenue - Downside</t>
        </is>
      </c>
      <c r="B28" t="inlineStr">
        <is>
          <t>%</t>
        </is>
      </c>
      <c r="C28" s="112" t="n">
        <v>0.2725882105341226</v>
      </c>
      <c r="D28" s="109" t="n">
        <v>0.28</v>
      </c>
      <c r="E28" s="109" t="n">
        <v>0.28</v>
      </c>
      <c r="F28" s="109" t="n">
        <v>0.28</v>
      </c>
    </row>
    <row r="29">
      <c r="A29" t="inlineStr">
        <is>
          <t>OpEx % of Revenue - Base</t>
        </is>
      </c>
      <c r="B29" t="inlineStr">
        <is>
          <t>%</t>
        </is>
      </c>
      <c r="C29" s="112" t="n">
        <v>0.2725882105341226</v>
      </c>
      <c r="D29" s="109" t="n">
        <v>0.2725882105341226</v>
      </c>
      <c r="E29" s="109" t="n">
        <v>0.26</v>
      </c>
      <c r="F29" s="109" t="n">
        <v>0.25</v>
      </c>
    </row>
    <row r="30">
      <c r="A30" t="inlineStr">
        <is>
          <t>OpEx % of Revenue - Upside</t>
        </is>
      </c>
      <c r="B30" t="inlineStr">
        <is>
          <t>%</t>
        </is>
      </c>
      <c r="C30" s="112" t="n">
        <v>0.2725882105341226</v>
      </c>
      <c r="D30" s="109" t="n">
        <v>0.26</v>
      </c>
      <c r="E30" s="109" t="n">
        <v>0.25</v>
      </c>
      <c r="F30" s="109" t="n">
        <v>0.24</v>
      </c>
    </row>
    <row r="31">
      <c r="A31" t="inlineStr">
        <is>
          <t>Active OpEx %</t>
        </is>
      </c>
      <c r="B31" t="inlineStr">
        <is>
          <t>%</t>
        </is>
      </c>
      <c r="C31" s="112">
        <f>0.27258821053412263</f>
        <v/>
      </c>
      <c r="D31" s="113">
        <f>CHOOSE($D$3,D28,D29,D30)</f>
        <v/>
      </c>
      <c r="E31" s="113">
        <f>CHOOSE($D$3,E28,E29,E30)</f>
        <v/>
      </c>
      <c r="F31" s="113">
        <f>CHOOSE($D$3,F28,F29,F30)</f>
        <v/>
      </c>
    </row>
    <row r="34">
      <c r="A34" s="2" t="inlineStr">
        <is>
          <t>CAPEX &amp; DEBT DRIVERS</t>
        </is>
      </c>
    </row>
    <row r="35">
      <c r="A35" s="108" t="inlineStr">
        <is>
          <t>Driver</t>
        </is>
      </c>
      <c r="B35" s="108" t="inlineStr">
        <is>
          <t>Units</t>
        </is>
      </c>
      <c r="C35" s="108" t="inlineStr">
        <is>
          <t>2025A (base)</t>
        </is>
      </c>
      <c r="D35" s="108" t="inlineStr">
        <is>
          <t>2025E</t>
        </is>
      </c>
      <c r="E35" s="108" t="inlineStr">
        <is>
          <t>2026E</t>
        </is>
      </c>
      <c r="F35" s="108" t="inlineStr">
        <is>
          <t>2027E</t>
        </is>
      </c>
    </row>
    <row r="36">
      <c r="A36" t="inlineStr">
        <is>
          <t>CapEx % of Revenue - Downside</t>
        </is>
      </c>
      <c r="B36" t="inlineStr">
        <is>
          <t>%</t>
        </is>
      </c>
      <c r="C36">
        <f>"-"</f>
        <v/>
      </c>
      <c r="D36" s="109" t="n">
        <v>0.08</v>
      </c>
      <c r="E36" s="109" t="n">
        <v>0.08</v>
      </c>
      <c r="F36" s="109" t="n">
        <v>0.08</v>
      </c>
    </row>
    <row r="37">
      <c r="A37" t="inlineStr">
        <is>
          <t>CapEx % of Revenue - Base</t>
        </is>
      </c>
      <c r="B37" t="inlineStr">
        <is>
          <t>%</t>
        </is>
      </c>
      <c r="C37">
        <f>"-"</f>
        <v/>
      </c>
      <c r="D37" s="109" t="n">
        <v>0.07000000000000001</v>
      </c>
      <c r="E37" s="109" t="n">
        <v>0.07000000000000001</v>
      </c>
      <c r="F37" s="109" t="n">
        <v>0.07000000000000001</v>
      </c>
    </row>
    <row r="38">
      <c r="A38" t="inlineStr">
        <is>
          <t>CapEx % of Revenue - Upside</t>
        </is>
      </c>
      <c r="B38" t="inlineStr">
        <is>
          <t>%</t>
        </is>
      </c>
      <c r="C38">
        <f>"-"</f>
        <v/>
      </c>
      <c r="D38" s="109" t="n">
        <v>0.06</v>
      </c>
      <c r="E38" s="109" t="n">
        <v>0.06</v>
      </c>
      <c r="F38" s="109" t="n">
        <v>0.06</v>
      </c>
    </row>
    <row r="39">
      <c r="A39" t="inlineStr">
        <is>
          <t>Active CapEx %</t>
        </is>
      </c>
      <c r="B39" t="inlineStr">
        <is>
          <t>%</t>
        </is>
      </c>
      <c r="C39">
        <f>"-"</f>
        <v/>
      </c>
      <c r="D39" s="113">
        <f>CHOOSE($D$3,D36,D37,D38)</f>
        <v/>
      </c>
      <c r="E39" s="113">
        <f>CHOOSE($D$3,E36,E37,E38)</f>
        <v/>
      </c>
      <c r="F39" s="113">
        <f>CHOOSE($D$3,F36,F37,F38)</f>
        <v/>
      </c>
    </row>
    <row r="40">
      <c r="A40" t="inlineStr">
        <is>
          <t>Interest Rate (blended)</t>
        </is>
      </c>
      <c r="B40" t="inlineStr">
        <is>
          <t>%</t>
        </is>
      </c>
      <c r="C40" s="109" t="n">
        <v>0.065</v>
      </c>
      <c r="D40" s="114">
        <f>C40</f>
        <v/>
      </c>
      <c r="E40" s="114">
        <f>D40</f>
        <v/>
      </c>
      <c r="F40" s="114">
        <f>E40</f>
        <v/>
      </c>
    </row>
    <row r="41">
      <c r="A41" t="inlineStr">
        <is>
          <t>Annual Debt Paydown</t>
        </is>
      </c>
      <c r="B41" t="inlineStr">
        <is>
          <t>$</t>
        </is>
      </c>
      <c r="C41" s="115" t="n">
        <v>8000000</v>
      </c>
      <c r="D41" s="76">
        <f>C41</f>
        <v/>
      </c>
      <c r="E41" s="76">
        <f>D41</f>
        <v/>
      </c>
      <c r="F41" s="76">
        <f>E41</f>
        <v/>
      </c>
    </row>
    <row r="42">
      <c r="A42" t="inlineStr">
        <is>
          <t>New Borrowings</t>
        </is>
      </c>
      <c r="B42" t="inlineStr">
        <is>
          <t>$</t>
        </is>
      </c>
      <c r="C42" s="115" t="n">
        <v>5000000</v>
      </c>
      <c r="D42" s="76">
        <f>C42</f>
        <v/>
      </c>
      <c r="E42" s="76">
        <f>D42</f>
        <v/>
      </c>
      <c r="F42" s="76">
        <f>E42</f>
        <v/>
      </c>
    </row>
    <row r="46">
      <c r="A46" s="2" t="inlineStr">
        <is>
          <t>WORKING CAPITAL DRIVERS</t>
        </is>
      </c>
    </row>
    <row r="47">
      <c r="A47" s="108" t="inlineStr">
        <is>
          <t>Driver</t>
        </is>
      </c>
      <c r="B47" s="108" t="inlineStr">
        <is>
          <t>Units</t>
        </is>
      </c>
      <c r="C47" s="108" t="inlineStr">
        <is>
          <t>2025A (base)</t>
        </is>
      </c>
      <c r="D47" s="108" t="inlineStr">
        <is>
          <t>2025E</t>
        </is>
      </c>
      <c r="E47" s="108" t="inlineStr">
        <is>
          <t>2026E</t>
        </is>
      </c>
      <c r="F47" s="108" t="inlineStr">
        <is>
          <t>2027E</t>
        </is>
      </c>
    </row>
    <row r="48">
      <c r="A48" t="inlineStr">
        <is>
          <t>A/R Days</t>
        </is>
      </c>
      <c r="B48" t="inlineStr">
        <is>
          <t>days</t>
        </is>
      </c>
      <c r="C48" s="116" t="n">
        <v>38</v>
      </c>
      <c r="D48">
        <f>C48</f>
        <v/>
      </c>
      <c r="E48">
        <f>D48</f>
        <v/>
      </c>
      <c r="F48">
        <f>E48</f>
        <v/>
      </c>
    </row>
    <row r="49">
      <c r="A49" t="inlineStr">
        <is>
          <t>Inventory Days</t>
        </is>
      </c>
      <c r="B49" t="inlineStr">
        <is>
          <t>days</t>
        </is>
      </c>
      <c r="C49" s="116" t="n">
        <v>7</v>
      </c>
      <c r="D49">
        <f>C49</f>
        <v/>
      </c>
      <c r="E49">
        <f>D49</f>
        <v/>
      </c>
      <c r="F49">
        <f>E49</f>
        <v/>
      </c>
    </row>
    <row r="50">
      <c r="A50" t="inlineStr">
        <is>
          <t>A/P Days</t>
        </is>
      </c>
      <c r="B50" t="inlineStr">
        <is>
          <t>days</t>
        </is>
      </c>
      <c r="C50" s="116" t="n">
        <v>43</v>
      </c>
      <c r="D50">
        <f>C50</f>
        <v/>
      </c>
      <c r="E50">
        <f>D50</f>
        <v/>
      </c>
      <c r="F50">
        <f>E50</f>
        <v/>
      </c>
    </row>
    <row r="58">
      <c r="A58" s="2" t="inlineStr">
        <is>
          <t>TAX &amp; OTHER</t>
        </is>
      </c>
    </row>
    <row r="59">
      <c r="A59" s="108" t="inlineStr">
        <is>
          <t>Driver</t>
        </is>
      </c>
      <c r="B59" s="108" t="inlineStr">
        <is>
          <t>Units</t>
        </is>
      </c>
      <c r="C59" s="108" t="inlineStr">
        <is>
          <t>2025A (base)</t>
        </is>
      </c>
      <c r="D59" s="108" t="inlineStr">
        <is>
          <t>2025E</t>
        </is>
      </c>
      <c r="E59" s="108" t="inlineStr">
        <is>
          <t>2026E</t>
        </is>
      </c>
      <c r="F59" s="108" t="inlineStr">
        <is>
          <t>2027E</t>
        </is>
      </c>
    </row>
    <row r="60">
      <c r="A60" t="inlineStr">
        <is>
          <t>Tax Rate</t>
        </is>
      </c>
      <c r="B60" t="inlineStr">
        <is>
          <t>%</t>
        </is>
      </c>
      <c r="C60" s="109" t="n">
        <v>0</v>
      </c>
      <c r="D60" s="114">
        <f>C60</f>
        <v/>
      </c>
      <c r="E60" s="114">
        <f>D60</f>
        <v/>
      </c>
      <c r="F60" s="114">
        <f>E60</f>
        <v/>
      </c>
    </row>
    <row r="61">
      <c r="A61" t="inlineStr">
        <is>
          <t>Distribution Rate</t>
        </is>
      </c>
      <c r="B61" t="inlineStr">
        <is>
          <t>%</t>
        </is>
      </c>
      <c r="C61" s="109" t="n">
        <v>0.05</v>
      </c>
      <c r="D61" s="114">
        <f>C61</f>
        <v/>
      </c>
      <c r="E61" s="114">
        <f>D61</f>
        <v/>
      </c>
      <c r="F61" s="114">
        <f>E61</f>
        <v/>
      </c>
    </row>
    <row r="62">
      <c r="A62" t="inlineStr">
        <is>
          <t>Depreciation</t>
        </is>
      </c>
      <c r="B62" t="inlineStr">
        <is>
          <t>$</t>
        </is>
      </c>
      <c r="C62" s="115" t="n">
        <v>8207235</v>
      </c>
      <c r="D62" s="76">
        <f>C62*0.95</f>
        <v/>
      </c>
      <c r="E62" s="76">
        <f>D62*0.95</f>
        <v/>
      </c>
      <c r="F62" s="76">
        <f>E62*0.95</f>
        <v/>
      </c>
    </row>
  </sheetData>
  <mergeCells count="6">
    <mergeCell ref="A10:F10"/>
    <mergeCell ref="A46:F46"/>
    <mergeCell ref="A1:F1"/>
    <mergeCell ref="A58:F58"/>
    <mergeCell ref="A22:F22"/>
    <mergeCell ref="A34:F34"/>
  </mergeCells>
  <pageMargins left="0.75" right="0.75" top="1" bottom="1" header="0.5" footer="0.5"/>
  <legacyDrawing xmlns:r="http://schemas.openxmlformats.org/officeDocument/2006/relationships" r:id="anysvml"/>
</worksheet>
</file>

<file path=xl/worksheets/sheet93.xml><?xml version="1.0" encoding="utf-8"?>
<worksheet xmlns="http://schemas.openxmlformats.org/spreadsheetml/2006/main">
  <sheetPr>
    <tabColor rgb="001B5E20"/>
    <outlinePr summaryBelow="1" summaryRight="1"/>
    <pageSetUpPr/>
  </sheetPr>
  <dimension ref="A1:J6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8" customWidth="1" min="1" max="1"/>
    <col width="20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52" customWidth="1" min="10" max="10"/>
  </cols>
  <sheetData>
    <row r="1">
      <c r="A1" s="118" t="inlineStr">
        <is>
          <t>P&amp;L DETAIL</t>
        </is>
      </c>
      <c r="B1" s="119" t="n"/>
      <c r="C1" s="119" t="n"/>
      <c r="D1" s="119" t="n"/>
      <c r="E1" s="119" t="n"/>
      <c r="F1" s="119" t="n"/>
      <c r="G1" s="119" t="n"/>
      <c r="H1" s="119" t="n"/>
      <c r="I1" s="119" t="n"/>
    </row>
    <row r="2">
      <c r="A2" s="62" t="inlineStr">
        <is>
          <t>Meiborg Companies, Inc.</t>
        </is>
      </c>
    </row>
    <row r="4">
      <c r="A4" s="120" t="inlineStr">
        <is>
          <t>Account</t>
        </is>
      </c>
      <c r="B4" s="120" t="inlineStr">
        <is>
          <t>Category</t>
        </is>
      </c>
      <c r="C4" s="120" t="inlineStr">
        <is>
          <t>2022A</t>
        </is>
      </c>
      <c r="D4" s="120" t="inlineStr">
        <is>
          <t>2023A</t>
        </is>
      </c>
      <c r="E4" s="120" t="inlineStr">
        <is>
          <t>2024A</t>
        </is>
      </c>
      <c r="F4" s="120" t="inlineStr">
        <is>
          <t>2025A</t>
        </is>
      </c>
      <c r="G4" s="120" t="inlineStr">
        <is>
          <t>2025E</t>
        </is>
      </c>
      <c r="H4" s="120" t="inlineStr">
        <is>
          <t>2026E</t>
        </is>
      </c>
      <c r="I4" s="120" t="inlineStr">
        <is>
          <t>2027E</t>
        </is>
      </c>
      <c r="J4" s="121" t="inlineStr">
        <is>
          <t>Analyst Notes</t>
        </is>
      </c>
    </row>
    <row r="5">
      <c r="A5" s="122" t="inlineStr">
        <is>
          <t>REVENUE</t>
        </is>
      </c>
      <c r="B5" s="122" t="n"/>
      <c r="C5" s="123" t="n"/>
      <c r="D5" s="123" t="n"/>
      <c r="E5" s="123" t="n"/>
      <c r="F5" s="123" t="n"/>
      <c r="G5" s="123" t="n"/>
      <c r="H5" s="123" t="n"/>
      <c r="I5" s="123" t="n"/>
    </row>
    <row r="6">
      <c r="A6" t="inlineStr">
        <is>
          <t>Freight</t>
        </is>
      </c>
      <c r="B6" t="inlineStr">
        <is>
          <t>Revenue</t>
        </is>
      </c>
      <c r="C6" s="117">
        <f>ROUND(90098437*0.3836798215,0)</f>
        <v/>
      </c>
      <c r="D6" s="117">
        <f>ROUND(84111595*0.3836798215,0)</f>
        <v/>
      </c>
      <c r="E6" s="117">
        <f>ROUND(86468002*0.3836798215,0)</f>
        <v/>
      </c>
      <c r="F6" s="5">
        <f>41986752</f>
        <v/>
      </c>
      <c r="G6" s="117">
        <f>ROUND(F6*1.05^(1),0)</f>
        <v/>
      </c>
      <c r="H6" s="117">
        <f>ROUND(F6*1.05^(2),0)</f>
        <v/>
      </c>
      <c r="I6" s="117">
        <f>ROUND(F6*1.05^(3),0)</f>
        <v/>
      </c>
      <c r="J6" s="124" t="inlineStr">
        <is>
          <t>Freight is core business - recurring</t>
        </is>
      </c>
    </row>
    <row r="7">
      <c r="A7" t="inlineStr">
        <is>
          <t>Shuttle</t>
        </is>
      </c>
      <c r="B7" t="inlineStr">
        <is>
          <t>Revenue</t>
        </is>
      </c>
      <c r="C7" s="117">
        <f>ROUND(90098437*0.0577802086,0)</f>
        <v/>
      </c>
      <c r="D7" s="117">
        <f>ROUND(84111595*0.0577802086,0)</f>
        <v/>
      </c>
      <c r="E7" s="117">
        <f>ROUND(86468002*0.0577802086,0)</f>
        <v/>
      </c>
      <c r="F7" s="5">
        <f>6322989</f>
        <v/>
      </c>
      <c r="G7" s="117">
        <f>ROUND(F7*1.05^(1),0)</f>
        <v/>
      </c>
      <c r="H7" s="117">
        <f>ROUND(F7*1.05^(2),0)</f>
        <v/>
      </c>
      <c r="I7" s="117">
        <f>ROUND(F7*1.05^(3),0)</f>
        <v/>
      </c>
    </row>
    <row r="8">
      <c r="A8" t="inlineStr">
        <is>
          <t>Brokerage</t>
        </is>
      </c>
      <c r="B8" t="inlineStr">
        <is>
          <t>Revenue</t>
        </is>
      </c>
      <c r="C8" s="117">
        <f>ROUND(90098437*0.2289719425,0)</f>
        <v/>
      </c>
      <c r="D8" s="117">
        <f>ROUND(84111595*0.2289719425,0)</f>
        <v/>
      </c>
      <c r="E8" s="117">
        <f>ROUND(86468002*0.2289719425,0)</f>
        <v/>
      </c>
      <c r="F8" s="5">
        <f>25056799</f>
        <v/>
      </c>
      <c r="G8" s="117">
        <f>ROUND(F8*1.05^(1),0)</f>
        <v/>
      </c>
      <c r="H8" s="117">
        <f>ROUND(F8*1.05^(2),0)</f>
        <v/>
      </c>
      <c r="I8" s="117">
        <f>ROUND(F8*1.05^(3),0)</f>
        <v/>
      </c>
      <c r="J8" s="124" t="inlineStr">
        <is>
          <t>Brokerage - variable margin, consider QoE adjustment</t>
        </is>
      </c>
    </row>
    <row r="9">
      <c r="A9" t="inlineStr">
        <is>
          <t>Shop</t>
        </is>
      </c>
      <c r="B9" t="inlineStr">
        <is>
          <t>Revenue</t>
        </is>
      </c>
      <c r="C9" s="117">
        <f>ROUND(90098437*0.0338364981,0)</f>
        <v/>
      </c>
      <c r="D9" s="117">
        <f>ROUND(84111595*0.0338364981,0)</f>
        <v/>
      </c>
      <c r="E9" s="117">
        <f>ROUND(86468002*0.0338364981,0)</f>
        <v/>
      </c>
      <c r="F9" s="5">
        <f>3702787</f>
        <v/>
      </c>
      <c r="G9" s="117">
        <f>ROUND(F9*1.05^(1),0)</f>
        <v/>
      </c>
      <c r="H9" s="117">
        <f>ROUND(F9*1.05^(2),0)</f>
        <v/>
      </c>
      <c r="I9" s="117">
        <f>ROUND(F9*1.05^(3),0)</f>
        <v/>
      </c>
    </row>
    <row r="10">
      <c r="A10" t="inlineStr">
        <is>
          <t>Tractor &amp; Trailer Leases</t>
        </is>
      </c>
      <c r="B10" t="inlineStr">
        <is>
          <t>Revenue</t>
        </is>
      </c>
      <c r="C10" s="117">
        <f>ROUND(90098437*0.0173252653,0)</f>
        <v/>
      </c>
      <c r="D10" s="117">
        <f>ROUND(84111595*0.0173252653,0)</f>
        <v/>
      </c>
      <c r="E10" s="117">
        <f>ROUND(86468002*0.0173252653,0)</f>
        <v/>
      </c>
      <c r="F10" s="5">
        <f>1895934</f>
        <v/>
      </c>
      <c r="G10" s="117">
        <f>ROUND(F10*1.05^(1),0)</f>
        <v/>
      </c>
      <c r="H10" s="117">
        <f>ROUND(F10*1.05^(2),0)</f>
        <v/>
      </c>
      <c r="I10" s="117">
        <f>ROUND(F10*1.05^(3),0)</f>
        <v/>
      </c>
    </row>
    <row r="11">
      <c r="A11" t="inlineStr">
        <is>
          <t>Trailer Rentals</t>
        </is>
      </c>
      <c r="B11" t="inlineStr">
        <is>
          <t>Revenue</t>
        </is>
      </c>
      <c r="C11" s="117">
        <f>ROUND(90098437*0.0042764831,0)</f>
        <v/>
      </c>
      <c r="D11" s="117">
        <f>ROUND(84111595*0.0042764831,0)</f>
        <v/>
      </c>
      <c r="E11" s="117">
        <f>ROUND(86468002*0.0042764831,0)</f>
        <v/>
      </c>
      <c r="F11" s="5">
        <f>467983</f>
        <v/>
      </c>
      <c r="G11" s="117">
        <f>ROUND(F11*1.05^(1),0)</f>
        <v/>
      </c>
      <c r="H11" s="117">
        <f>ROUND(F11*1.05^(2),0)</f>
        <v/>
      </c>
      <c r="I11" s="117">
        <f>ROUND(F11*1.05^(3),0)</f>
        <v/>
      </c>
    </row>
    <row r="12">
      <c r="A12" t="inlineStr">
        <is>
          <t>Building Rent</t>
        </is>
      </c>
      <c r="B12" t="inlineStr">
        <is>
          <t>Revenue</t>
        </is>
      </c>
      <c r="C12" s="117">
        <f>ROUND(90098437*0.0024663410,0)</f>
        <v/>
      </c>
      <c r="D12" s="117">
        <f>ROUND(84111595*0.0024663410,0)</f>
        <v/>
      </c>
      <c r="E12" s="117">
        <f>ROUND(86468002*0.0024663410,0)</f>
        <v/>
      </c>
      <c r="F12" s="5">
        <f>269896</f>
        <v/>
      </c>
      <c r="G12" s="117">
        <f>ROUND(F12*1.05^(1),0)</f>
        <v/>
      </c>
      <c r="H12" s="117">
        <f>ROUND(F12*1.05^(2),0)</f>
        <v/>
      </c>
      <c r="I12" s="117">
        <f>ROUND(F12*1.05^(3),0)</f>
        <v/>
      </c>
    </row>
    <row r="13">
      <c r="A13" t="inlineStr">
        <is>
          <t>Fuel Program</t>
        </is>
      </c>
      <c r="B13" t="inlineStr">
        <is>
          <t>Revenue</t>
        </is>
      </c>
      <c r="C13" s="117">
        <f>ROUND(90098437*0.0257762775,0)</f>
        <v/>
      </c>
      <c r="D13" s="117">
        <f>ROUND(84111595*0.0257762775,0)</f>
        <v/>
      </c>
      <c r="E13" s="117">
        <f>ROUND(86468002*0.0257762775,0)</f>
        <v/>
      </c>
      <c r="F13" s="5">
        <f>2820743</f>
        <v/>
      </c>
      <c r="G13" s="117">
        <f>ROUND(F13*1.05^(1),0)</f>
        <v/>
      </c>
      <c r="H13" s="117">
        <f>ROUND(F13*1.05^(2),0)</f>
        <v/>
      </c>
      <c r="I13" s="117">
        <f>ROUND(F13*1.05^(3),0)</f>
        <v/>
      </c>
    </row>
    <row r="14">
      <c r="A14" t="inlineStr">
        <is>
          <t>Warehousing</t>
        </is>
      </c>
      <c r="B14" t="inlineStr">
        <is>
          <t>Revenue</t>
        </is>
      </c>
      <c r="C14" s="117">
        <f>ROUND(90098437*0.2450030130,0)</f>
        <v/>
      </c>
      <c r="D14" s="117">
        <f>ROUND(84111595*0.2450030130,0)</f>
        <v/>
      </c>
      <c r="E14" s="117">
        <f>ROUND(86468002*0.2450030130,0)</f>
        <v/>
      </c>
      <c r="F14" s="5">
        <f>26811107</f>
        <v/>
      </c>
      <c r="G14" s="117">
        <f>ROUND(F14*1.05^(1),0)</f>
        <v/>
      </c>
      <c r="H14" s="117">
        <f>ROUND(F14*1.05^(2),0)</f>
        <v/>
      </c>
      <c r="I14" s="117">
        <f>ROUND(F14*1.05^(3),0)</f>
        <v/>
      </c>
      <c r="J14" s="124" t="inlineStr">
        <is>
          <t>Warehousing - significant growth driver 2025</t>
        </is>
      </c>
    </row>
    <row r="15">
      <c r="A15" t="inlineStr">
        <is>
          <t>Finance Fees</t>
        </is>
      </c>
      <c r="B15" t="inlineStr">
        <is>
          <t>Revenue</t>
        </is>
      </c>
      <c r="C15" s="117">
        <f>ROUND(90098437*0.0011451248,0)</f>
        <v/>
      </c>
      <c r="D15" s="117">
        <f>ROUND(84111595*0.0011451248,0)</f>
        <v/>
      </c>
      <c r="E15" s="117">
        <f>ROUND(86468002*0.0011451248,0)</f>
        <v/>
      </c>
      <c r="F15" s="5">
        <f>125313</f>
        <v/>
      </c>
      <c r="G15" s="117">
        <f>ROUND(F15*1.05^(1),0)</f>
        <v/>
      </c>
      <c r="H15" s="117">
        <f>ROUND(F15*1.05^(2),0)</f>
        <v/>
      </c>
      <c r="I15" s="117">
        <f>ROUND(F15*1.05^(3),0)</f>
        <v/>
      </c>
    </row>
    <row r="16">
      <c r="A16" t="inlineStr">
        <is>
          <t>Late Delivery Fees</t>
        </is>
      </c>
      <c r="B16" t="inlineStr">
        <is>
          <t>Revenue</t>
        </is>
      </c>
      <c r="C16" s="117">
        <f>ROUND(90098437*-0.0002609755,0)</f>
        <v/>
      </c>
      <c r="D16" s="117">
        <f>ROUND(84111595*-0.0002609755,0)</f>
        <v/>
      </c>
      <c r="E16" s="117">
        <f>ROUND(86468002*-0.0002609755,0)</f>
        <v/>
      </c>
      <c r="F16" s="5">
        <f>-28559</f>
        <v/>
      </c>
      <c r="G16" s="117">
        <f>ROUND(F16*1.05^(1),0)</f>
        <v/>
      </c>
      <c r="H16" s="117">
        <f>ROUND(F16*1.05^(2),0)</f>
        <v/>
      </c>
      <c r="I16" s="117">
        <f>ROUND(F16*1.05^(3),0)</f>
        <v/>
      </c>
      <c r="J16" s="124" t="inlineStr">
        <is>
          <t>Late Delivery Fees - contra revenue, recurring</t>
        </is>
      </c>
    </row>
    <row r="17">
      <c r="A17" s="1" t="inlineStr">
        <is>
          <t>Total Revenue</t>
        </is>
      </c>
      <c r="B17" t="inlineStr">
        <is>
          <t>Subtotal</t>
        </is>
      </c>
      <c r="C17" s="105">
        <f>SUM(C6:C16)</f>
        <v/>
      </c>
      <c r="D17" s="105">
        <f>SUM(D6:D16)</f>
        <v/>
      </c>
      <c r="E17" s="105">
        <f>SUM(E6:E16)</f>
        <v/>
      </c>
      <c r="F17" s="105">
        <f>SUM(F6:F16)</f>
        <v/>
      </c>
      <c r="G17" s="105">
        <f>SUM(G6:G16)</f>
        <v/>
      </c>
      <c r="H17" s="105">
        <f>SUM(H6:H16)</f>
        <v/>
      </c>
      <c r="I17" s="105">
        <f>SUM(I6:I16)</f>
        <v/>
      </c>
    </row>
    <row r="19">
      <c r="A19" s="122" t="inlineStr">
        <is>
          <t>COST OF GOODS SOLD</t>
        </is>
      </c>
      <c r="B19" s="123" t="n"/>
      <c r="C19" s="123" t="n"/>
      <c r="D19" s="123" t="n"/>
      <c r="E19" s="123" t="n"/>
      <c r="F19" s="123" t="n"/>
      <c r="G19" s="123" t="n"/>
      <c r="H19" s="123" t="n"/>
      <c r="I19" s="123" t="n"/>
    </row>
    <row r="20">
      <c r="A20" t="inlineStr">
        <is>
          <t>Labor</t>
        </is>
      </c>
      <c r="B20" t="inlineStr">
        <is>
          <t>COGS</t>
        </is>
      </c>
      <c r="C20" s="117">
        <f>-ROUND(68296469*0.2096502642,0)</f>
        <v/>
      </c>
      <c r="D20" s="117">
        <f>-ROUND(60352900*0.2096502642,0)</f>
        <v/>
      </c>
      <c r="E20" s="117">
        <f>-ROUND(60010742*0.2096502642,0)</f>
        <v/>
      </c>
      <c r="F20" s="5">
        <f>-14352942</f>
        <v/>
      </c>
      <c r="G20" s="117">
        <f>ROUND(F20*1.05^(1),0)</f>
        <v/>
      </c>
      <c r="H20" s="117">
        <f>ROUND(F20*1.05^(2),0)</f>
        <v/>
      </c>
      <c r="I20" s="117">
        <f>ROUND(F20*1.05^(3),0)</f>
        <v/>
      </c>
      <c r="J20" s="124" t="inlineStr">
        <is>
          <t>Labor - largest COGS component, recurring</t>
        </is>
      </c>
    </row>
    <row r="21">
      <c r="A21" t="inlineStr">
        <is>
          <t>Payroll Taxes</t>
        </is>
      </c>
      <c r="B21" t="inlineStr">
        <is>
          <t>COGS</t>
        </is>
      </c>
      <c r="C21" s="117">
        <f>-ROUND(68296469*0.0150361900,0)</f>
        <v/>
      </c>
      <c r="D21" s="117">
        <f>-ROUND(60352900*0.0150361900,0)</f>
        <v/>
      </c>
      <c r="E21" s="117">
        <f>-ROUND(60010742*0.0150361900,0)</f>
        <v/>
      </c>
      <c r="F21" s="5">
        <f>-1029398</f>
        <v/>
      </c>
      <c r="G21" s="117">
        <f>ROUND(F21*1.05^(1),0)</f>
        <v/>
      </c>
      <c r="H21" s="117">
        <f>ROUND(F21*1.05^(2),0)</f>
        <v/>
      </c>
      <c r="I21" s="117">
        <f>ROUND(F21*1.05^(3),0)</f>
        <v/>
      </c>
    </row>
    <row r="22">
      <c r="A22" t="inlineStr">
        <is>
          <t>Fuel</t>
        </is>
      </c>
      <c r="B22" t="inlineStr">
        <is>
          <t>COGS</t>
        </is>
      </c>
      <c r="C22" s="117">
        <f>-ROUND(68296469*0.0840467978,0)</f>
        <v/>
      </c>
      <c r="D22" s="117">
        <f>-ROUND(60352900*0.0840467978,0)</f>
        <v/>
      </c>
      <c r="E22" s="117">
        <f>-ROUND(60010742*0.0840467978,0)</f>
        <v/>
      </c>
      <c r="F22" s="5">
        <f>-5753958</f>
        <v/>
      </c>
      <c r="G22" s="117">
        <f>ROUND(F22*1.05^(1),0)</f>
        <v/>
      </c>
      <c r="H22" s="117">
        <f>ROUND(F22*1.05^(2),0)</f>
        <v/>
      </c>
      <c r="I22" s="117">
        <f>ROUND(F22*1.05^(3),0)</f>
        <v/>
      </c>
    </row>
    <row r="23">
      <c r="A23" t="inlineStr">
        <is>
          <t>Tolls</t>
        </is>
      </c>
      <c r="B23" t="inlineStr">
        <is>
          <t>COGS</t>
        </is>
      </c>
      <c r="C23" s="117">
        <f>-ROUND(68296469*0.0168151205,0)</f>
        <v/>
      </c>
      <c r="D23" s="117">
        <f>-ROUND(60352900*0.0168151205,0)</f>
        <v/>
      </c>
      <c r="E23" s="117">
        <f>-ROUND(60010742*0.0168151205,0)</f>
        <v/>
      </c>
      <c r="F23" s="5">
        <f>-1151186</f>
        <v/>
      </c>
      <c r="G23" s="117">
        <f>ROUND(F23*1.05^(1),0)</f>
        <v/>
      </c>
      <c r="H23" s="117">
        <f>ROUND(F23*1.05^(2),0)</f>
        <v/>
      </c>
      <c r="I23" s="117">
        <f>ROUND(F23*1.05^(3),0)</f>
        <v/>
      </c>
    </row>
    <row r="24">
      <c r="A24" t="inlineStr">
        <is>
          <t>Maintenance/Repairs-Tractor</t>
        </is>
      </c>
      <c r="B24" t="inlineStr">
        <is>
          <t>COGS</t>
        </is>
      </c>
      <c r="C24" s="117">
        <f>-ROUND(68296469*0.0082344115,0)</f>
        <v/>
      </c>
      <c r="D24" s="117">
        <f>-ROUND(60352900*0.0082344115,0)</f>
        <v/>
      </c>
      <c r="E24" s="117">
        <f>-ROUND(60010742*0.0082344115,0)</f>
        <v/>
      </c>
      <c r="F24" s="5">
        <f>-563739</f>
        <v/>
      </c>
      <c r="G24" s="117">
        <f>ROUND(F24*1.05^(1),0)</f>
        <v/>
      </c>
      <c r="H24" s="117">
        <f>ROUND(F24*1.05^(2),0)</f>
        <v/>
      </c>
      <c r="I24" s="117">
        <f>ROUND(F24*1.05^(3),0)</f>
        <v/>
      </c>
    </row>
    <row r="25">
      <c r="A25" t="inlineStr">
        <is>
          <t>Maintenance/Repairs-Trailer</t>
        </is>
      </c>
      <c r="B25" t="inlineStr">
        <is>
          <t>COGS</t>
        </is>
      </c>
      <c r="C25" s="117">
        <f>-ROUND(68296469*0.0044367217,0)</f>
        <v/>
      </c>
      <c r="D25" s="117">
        <f>-ROUND(60352900*0.0044367217,0)</f>
        <v/>
      </c>
      <c r="E25" s="117">
        <f>-ROUND(60010742*0.0044367217,0)</f>
        <v/>
      </c>
      <c r="F25" s="5">
        <f>-303744</f>
        <v/>
      </c>
      <c r="G25" s="117">
        <f>ROUND(F25*1.05^(1),0)</f>
        <v/>
      </c>
      <c r="H25" s="117">
        <f>ROUND(F25*1.05^(2),0)</f>
        <v/>
      </c>
      <c r="I25" s="117">
        <f>ROUND(F25*1.05^(3),0)</f>
        <v/>
      </c>
    </row>
    <row r="26">
      <c r="A26" t="inlineStr">
        <is>
          <t>Parts/Supplies</t>
        </is>
      </c>
      <c r="B26" t="inlineStr">
        <is>
          <t>COGS</t>
        </is>
      </c>
      <c r="C26" s="117">
        <f>-ROUND(68296469*0.0572302545,0)</f>
        <v/>
      </c>
      <c r="D26" s="117">
        <f>-ROUND(60352900*0.0572302545,0)</f>
        <v/>
      </c>
      <c r="E26" s="117">
        <f>-ROUND(60010742*0.0572302545,0)</f>
        <v/>
      </c>
      <c r="F26" s="5">
        <f>-3918061</f>
        <v/>
      </c>
      <c r="G26" s="117">
        <f>ROUND(F26*1.05^(1),0)</f>
        <v/>
      </c>
      <c r="H26" s="117">
        <f>ROUND(F26*1.05^(2),0)</f>
        <v/>
      </c>
      <c r="I26" s="117">
        <f>ROUND(F26*1.05^(3),0)</f>
        <v/>
      </c>
    </row>
    <row r="27">
      <c r="A27" t="inlineStr">
        <is>
          <t>Insurance</t>
        </is>
      </c>
      <c r="B27" t="inlineStr">
        <is>
          <t>COGS</t>
        </is>
      </c>
      <c r="C27" s="117">
        <f>-ROUND(68296469*0.0326535148,0)</f>
        <v/>
      </c>
      <c r="D27" s="117">
        <f>-ROUND(60352900*0.0326535148,0)</f>
        <v/>
      </c>
      <c r="E27" s="117">
        <f>-ROUND(60010742*0.0326535148,0)</f>
        <v/>
      </c>
      <c r="F27" s="5">
        <f>-2235504</f>
        <v/>
      </c>
      <c r="G27" s="117">
        <f>ROUND(F27*1.05^(1),0)</f>
        <v/>
      </c>
      <c r="H27" s="117">
        <f>ROUND(F27*1.05^(2),0)</f>
        <v/>
      </c>
      <c r="I27" s="117">
        <f>ROUND(F27*1.05^(3),0)</f>
        <v/>
      </c>
    </row>
    <row r="28">
      <c r="A28" t="inlineStr">
        <is>
          <t>Brokered Carrier Pay</t>
        </is>
      </c>
      <c r="B28" t="inlineStr">
        <is>
          <t>COGS</t>
        </is>
      </c>
      <c r="C28" s="117">
        <f>-ROUND(68296469*0.3303145794,0)</f>
        <v/>
      </c>
      <c r="D28" s="117">
        <f>-ROUND(60352900*0.3303145794,0)</f>
        <v/>
      </c>
      <c r="E28" s="117">
        <f>-ROUND(60010742*0.3303145794,0)</f>
        <v/>
      </c>
      <c r="F28" s="5">
        <f>-22613785</f>
        <v/>
      </c>
      <c r="G28" s="117">
        <f>ROUND(F28*1.05^(1),0)</f>
        <v/>
      </c>
      <c r="H28" s="117">
        <f>ROUND(F28*1.05^(2),0)</f>
        <v/>
      </c>
      <c r="I28" s="117">
        <f>ROUND(F28*1.05^(3),0)</f>
        <v/>
      </c>
      <c r="J28" s="124" t="inlineStr">
        <is>
          <t>Brokered Carrier Pay - variable with Brokerage revenue</t>
        </is>
      </c>
    </row>
    <row r="29">
      <c r="A29" t="inlineStr">
        <is>
          <t>Agent Pay</t>
        </is>
      </c>
      <c r="B29" t="inlineStr">
        <is>
          <t>COGS</t>
        </is>
      </c>
      <c r="C29" s="117">
        <f>-ROUND(68296469*0.0012034234,0)</f>
        <v/>
      </c>
      <c r="D29" s="117">
        <f>-ROUND(60352900*0.0012034234,0)</f>
        <v/>
      </c>
      <c r="E29" s="117">
        <f>-ROUND(60010742*0.0012034234,0)</f>
        <v/>
      </c>
      <c r="F29" s="5">
        <f>-82388</f>
        <v/>
      </c>
      <c r="G29" s="117">
        <f>ROUND(F29*1.05^(1),0)</f>
        <v/>
      </c>
      <c r="H29" s="117">
        <f>ROUND(F29*1.05^(2),0)</f>
        <v/>
      </c>
      <c r="I29" s="117">
        <f>ROUND(F29*1.05^(3),0)</f>
        <v/>
      </c>
    </row>
    <row r="30">
      <c r="A30" t="inlineStr">
        <is>
          <t>Owner Operators</t>
        </is>
      </c>
      <c r="B30" t="inlineStr">
        <is>
          <t>COGS</t>
        </is>
      </c>
      <c r="C30" s="117">
        <f>-ROUND(68296469*0.1839629856,0)</f>
        <v/>
      </c>
      <c r="D30" s="117">
        <f>-ROUND(60352900*0.1839629856,0)</f>
        <v/>
      </c>
      <c r="E30" s="117">
        <f>-ROUND(60010742*0.1839629856,0)</f>
        <v/>
      </c>
      <c r="F30" s="5">
        <f>-12594356</f>
        <v/>
      </c>
      <c r="G30" s="117">
        <f>ROUND(F30*1.05^(1),0)</f>
        <v/>
      </c>
      <c r="H30" s="117">
        <f>ROUND(F30*1.05^(2),0)</f>
        <v/>
      </c>
      <c r="I30" s="117">
        <f>ROUND(F30*1.05^(3),0)</f>
        <v/>
      </c>
      <c r="J30" s="124" t="inlineStr">
        <is>
          <t>Owner Operators - consider classification for QoE</t>
        </is>
      </c>
    </row>
    <row r="31">
      <c r="A31" t="inlineStr">
        <is>
          <t>Outside Services</t>
        </is>
      </c>
      <c r="B31" t="inlineStr">
        <is>
          <t>COGS</t>
        </is>
      </c>
      <c r="C31" s="117">
        <f>-ROUND(68296469*0.0004979743,0)</f>
        <v/>
      </c>
      <c r="D31" s="117">
        <f>-ROUND(60352900*0.0004979743,0)</f>
        <v/>
      </c>
      <c r="E31" s="117">
        <f>-ROUND(60010742*0.0004979743,0)</f>
        <v/>
      </c>
      <c r="F31" s="5">
        <f>-34092</f>
        <v/>
      </c>
      <c r="G31" s="117">
        <f>ROUND(F31*1.05^(1),0)</f>
        <v/>
      </c>
      <c r="H31" s="117">
        <f>ROUND(F31*1.05^(2),0)</f>
        <v/>
      </c>
      <c r="I31" s="117">
        <f>ROUND(F31*1.05^(3),0)</f>
        <v/>
      </c>
    </row>
    <row r="32">
      <c r="A32" t="inlineStr">
        <is>
          <t>Lease Payments-Tractors-Internal</t>
        </is>
      </c>
      <c r="B32" t="inlineStr">
        <is>
          <t>COGS</t>
        </is>
      </c>
      <c r="C32" s="117">
        <f>-ROUND(68296469*0.0050444368,0)</f>
        <v/>
      </c>
      <c r="D32" s="117">
        <f>-ROUND(60352900*0.0050444368,0)</f>
        <v/>
      </c>
      <c r="E32" s="117">
        <f>-ROUND(60010742*0.0050444368,0)</f>
        <v/>
      </c>
      <c r="F32" s="5">
        <f>-345349</f>
        <v/>
      </c>
      <c r="G32" s="117">
        <f>ROUND(F32*1.05^(1),0)</f>
        <v/>
      </c>
      <c r="H32" s="117">
        <f>ROUND(F32*1.05^(2),0)</f>
        <v/>
      </c>
      <c r="I32" s="117">
        <f>ROUND(F32*1.05^(3),0)</f>
        <v/>
      </c>
    </row>
    <row r="33">
      <c r="A33" t="inlineStr">
        <is>
          <t>Lease Payments-Trailers-Internal</t>
        </is>
      </c>
      <c r="B33" t="inlineStr">
        <is>
          <t>COGS</t>
        </is>
      </c>
      <c r="C33" s="117">
        <f>-ROUND(68296469*0.0036903153,0)</f>
        <v/>
      </c>
      <c r="D33" s="117">
        <f>-ROUND(60352900*0.0036903153,0)</f>
        <v/>
      </c>
      <c r="E33" s="117">
        <f>-ROUND(60010742*0.0036903153,0)</f>
        <v/>
      </c>
      <c r="F33" s="5">
        <f>-252644</f>
        <v/>
      </c>
      <c r="G33" s="117">
        <f>ROUND(F33*1.05^(1),0)</f>
        <v/>
      </c>
      <c r="H33" s="117">
        <f>ROUND(F33*1.05^(2),0)</f>
        <v/>
      </c>
      <c r="I33" s="117">
        <f>ROUND(F33*1.05^(3),0)</f>
        <v/>
      </c>
    </row>
    <row r="34">
      <c r="A34" t="inlineStr">
        <is>
          <t>Leased Payments-Tractors-External</t>
        </is>
      </c>
      <c r="B34" t="inlineStr">
        <is>
          <t>COGS</t>
        </is>
      </c>
      <c r="C34" s="117">
        <f>-ROUND(68296469*0.0013113675,0)</f>
        <v/>
      </c>
      <c r="D34" s="117">
        <f>-ROUND(60352900*0.0013113675,0)</f>
        <v/>
      </c>
      <c r="E34" s="117">
        <f>-ROUND(60010742*0.0013113675,0)</f>
        <v/>
      </c>
      <c r="F34" s="5">
        <f>-89778</f>
        <v/>
      </c>
      <c r="G34" s="117">
        <f>ROUND(F34*1.05^(1),0)</f>
        <v/>
      </c>
      <c r="H34" s="117">
        <f>ROUND(F34*1.05^(2),0)</f>
        <v/>
      </c>
      <c r="I34" s="117">
        <f>ROUND(F34*1.05^(3),0)</f>
        <v/>
      </c>
    </row>
    <row r="35">
      <c r="A35" t="inlineStr">
        <is>
          <t>Rental Tractors</t>
        </is>
      </c>
      <c r="B35" t="inlineStr">
        <is>
          <t>COGS</t>
        </is>
      </c>
      <c r="C35" s="117">
        <f>-ROUND(68296469*0.0058341524,0)</f>
        <v/>
      </c>
      <c r="D35" s="117">
        <f>-ROUND(60352900*0.0058341524,0)</f>
        <v/>
      </c>
      <c r="E35" s="117">
        <f>-ROUND(60010742*0.0058341524,0)</f>
        <v/>
      </c>
      <c r="F35" s="5">
        <f>-399414</f>
        <v/>
      </c>
      <c r="G35" s="117">
        <f>ROUND(F35*1.05^(1),0)</f>
        <v/>
      </c>
      <c r="H35" s="117">
        <f>ROUND(F35*1.05^(2),0)</f>
        <v/>
      </c>
      <c r="I35" s="117">
        <f>ROUND(F35*1.05^(3),0)</f>
        <v/>
      </c>
    </row>
    <row r="36">
      <c r="A36" t="inlineStr">
        <is>
          <t>Rental Trailers</t>
        </is>
      </c>
      <c r="B36" t="inlineStr">
        <is>
          <t>COGS</t>
        </is>
      </c>
      <c r="C36" s="117">
        <f>-ROUND(68296469*0.0197475630,0)</f>
        <v/>
      </c>
      <c r="D36" s="117">
        <f>-ROUND(60352900*0.0197475630,0)</f>
        <v/>
      </c>
      <c r="E36" s="117">
        <f>-ROUND(60010742*0.0197475630,0)</f>
        <v/>
      </c>
      <c r="F36" s="5">
        <f>-1351945</f>
        <v/>
      </c>
      <c r="G36" s="117">
        <f>ROUND(F36*1.05^(1),0)</f>
        <v/>
      </c>
      <c r="H36" s="117">
        <f>ROUND(F36*1.05^(2),0)</f>
        <v/>
      </c>
      <c r="I36" s="117">
        <f>ROUND(F36*1.05^(3),0)</f>
        <v/>
      </c>
    </row>
    <row r="37">
      <c r="A37" t="inlineStr">
        <is>
          <t>GPS Tracking/ELD</t>
        </is>
      </c>
      <c r="B37" t="inlineStr">
        <is>
          <t>COGS</t>
        </is>
      </c>
      <c r="C37" s="117">
        <f>-ROUND(68296469*0.0035730813,0)</f>
        <v/>
      </c>
      <c r="D37" s="117">
        <f>-ROUND(60352900*0.0035730813,0)</f>
        <v/>
      </c>
      <c r="E37" s="117">
        <f>-ROUND(60010742*0.0035730813,0)</f>
        <v/>
      </c>
      <c r="F37" s="5">
        <f>-244618</f>
        <v/>
      </c>
      <c r="G37" s="117">
        <f>ROUND(F37*1.05^(1),0)</f>
        <v/>
      </c>
      <c r="H37" s="117">
        <f>ROUND(F37*1.05^(2),0)</f>
        <v/>
      </c>
      <c r="I37" s="117">
        <f>ROUND(F37*1.05^(3),0)</f>
        <v/>
      </c>
    </row>
    <row r="38">
      <c r="A38" t="inlineStr">
        <is>
          <t>Highway Fuel Tax</t>
        </is>
      </c>
      <c r="B38" t="inlineStr">
        <is>
          <t>COGS</t>
        </is>
      </c>
      <c r="C38" s="117">
        <f>-ROUND(68296469*0.0026836745,0)</f>
        <v/>
      </c>
      <c r="D38" s="117">
        <f>-ROUND(60352900*0.0026836745,0)</f>
        <v/>
      </c>
      <c r="E38" s="117">
        <f>-ROUND(60010742*0.0026836745,0)</f>
        <v/>
      </c>
      <c r="F38" s="5">
        <f>-183728</f>
        <v/>
      </c>
      <c r="G38" s="117">
        <f>ROUND(F38*1.05^(1),0)</f>
        <v/>
      </c>
      <c r="H38" s="117">
        <f>ROUND(F38*1.05^(2),0)</f>
        <v/>
      </c>
      <c r="I38" s="117">
        <f>ROUND(F38*1.05^(3),0)</f>
        <v/>
      </c>
    </row>
    <row r="39">
      <c r="A39" t="inlineStr">
        <is>
          <t>Licenses/Permits</t>
        </is>
      </c>
      <c r="B39" t="inlineStr">
        <is>
          <t>COGS</t>
        </is>
      </c>
      <c r="C39" s="117">
        <f>-ROUND(68296469*0.0055519056,0)</f>
        <v/>
      </c>
      <c r="D39" s="117">
        <f>-ROUND(60352900*0.0055519056,0)</f>
        <v/>
      </c>
      <c r="E39" s="117">
        <f>-ROUND(60010742*0.0055519056,0)</f>
        <v/>
      </c>
      <c r="F39" s="5">
        <f>-380091</f>
        <v/>
      </c>
      <c r="G39" s="117">
        <f>ROUND(F39*1.05^(1),0)</f>
        <v/>
      </c>
      <c r="H39" s="117">
        <f>ROUND(F39*1.05^(2),0)</f>
        <v/>
      </c>
      <c r="I39" s="117">
        <f>ROUND(F39*1.05^(3),0)</f>
        <v/>
      </c>
    </row>
    <row r="40">
      <c r="A40" t="inlineStr">
        <is>
          <t>Lumpers</t>
        </is>
      </c>
      <c r="B40" t="inlineStr">
        <is>
          <t>COGS</t>
        </is>
      </c>
      <c r="C40" s="117">
        <f>-ROUND(68296469*0.0037592301,0)</f>
        <v/>
      </c>
      <c r="D40" s="117">
        <f>-ROUND(60352900*0.0037592301,0)</f>
        <v/>
      </c>
      <c r="E40" s="117">
        <f>-ROUND(60010742*0.0037592301,0)</f>
        <v/>
      </c>
      <c r="F40" s="5">
        <f>-257362</f>
        <v/>
      </c>
      <c r="G40" s="117">
        <f>ROUND(F40*1.05^(1),0)</f>
        <v/>
      </c>
      <c r="H40" s="117">
        <f>ROUND(F40*1.05^(2),0)</f>
        <v/>
      </c>
      <c r="I40" s="117">
        <f>ROUND(F40*1.05^(3),0)</f>
        <v/>
      </c>
    </row>
    <row r="41">
      <c r="A41" t="inlineStr">
        <is>
          <t>Scales</t>
        </is>
      </c>
      <c r="B41" t="inlineStr">
        <is>
          <t>COGS</t>
        </is>
      </c>
      <c r="C41" s="117">
        <f>-ROUND(68296469*0.0014052014,0)</f>
        <v/>
      </c>
      <c r="D41" s="117">
        <f>-ROUND(60352900*0.0014052014,0)</f>
        <v/>
      </c>
      <c r="E41" s="117">
        <f>-ROUND(60010742*0.0014052014,0)</f>
        <v/>
      </c>
      <c r="F41" s="5">
        <f>-96202</f>
        <v/>
      </c>
      <c r="G41" s="117">
        <f>ROUND(F41*1.05^(1),0)</f>
        <v/>
      </c>
      <c r="H41" s="117">
        <f>ROUND(F41*1.05^(2),0)</f>
        <v/>
      </c>
      <c r="I41" s="117">
        <f>ROUND(F41*1.05^(3),0)</f>
        <v/>
      </c>
    </row>
    <row r="42">
      <c r="A42" t="inlineStr">
        <is>
          <t>Freight Claims</t>
        </is>
      </c>
      <c r="B42" t="inlineStr">
        <is>
          <t>COGS</t>
        </is>
      </c>
      <c r="C42" s="117">
        <f>-ROUND(68296469*0.0001801308,0)</f>
        <v/>
      </c>
      <c r="D42" s="117">
        <f>-ROUND(60352900*0.0001801308,0)</f>
        <v/>
      </c>
      <c r="E42" s="117">
        <f>-ROUND(60010742*0.0001801308,0)</f>
        <v/>
      </c>
      <c r="F42" s="5">
        <f>-12332</f>
        <v/>
      </c>
      <c r="G42" s="117">
        <f>ROUND(F42*1.05^(1),0)</f>
        <v/>
      </c>
      <c r="H42" s="117">
        <f>ROUND(F42*1.05^(2),0)</f>
        <v/>
      </c>
      <c r="I42" s="117">
        <f>ROUND(F42*1.05^(3),0)</f>
        <v/>
      </c>
    </row>
    <row r="43">
      <c r="A43" t="inlineStr">
        <is>
          <t>Accident Costs</t>
        </is>
      </c>
      <c r="B43" t="inlineStr">
        <is>
          <t>COGS</t>
        </is>
      </c>
      <c r="C43" s="117">
        <f>-ROUND(68296469*0.0031367037,0)</f>
        <v/>
      </c>
      <c r="D43" s="117">
        <f>-ROUND(60352900*0.0031367037,0)</f>
        <v/>
      </c>
      <c r="E43" s="117">
        <f>-ROUND(60010742*0.0031367037,0)</f>
        <v/>
      </c>
      <c r="F43" s="5">
        <f>-214743</f>
        <v/>
      </c>
      <c r="G43" s="117">
        <f>ROUND(F43*1.05^(1),0)</f>
        <v/>
      </c>
      <c r="H43" s="117">
        <f>ROUND(F43*1.05^(2),0)</f>
        <v/>
      </c>
      <c r="I43" s="117">
        <f>ROUND(F43*1.05^(3),0)</f>
        <v/>
      </c>
    </row>
    <row r="44">
      <c r="A44" s="1" t="inlineStr">
        <is>
          <t>Total COGS</t>
        </is>
      </c>
      <c r="B44" t="inlineStr">
        <is>
          <t>Subtotal</t>
        </is>
      </c>
      <c r="C44" s="105">
        <f>SUM(C20:C43)</f>
        <v/>
      </c>
      <c r="D44" s="105">
        <f>SUM(D20:D43)</f>
        <v/>
      </c>
      <c r="E44" s="105">
        <f>SUM(E20:E43)</f>
        <v/>
      </c>
      <c r="F44" s="105">
        <f>SUM(F20:F43)</f>
        <v/>
      </c>
      <c r="G44" s="105">
        <f>SUM(G20:G43)</f>
        <v/>
      </c>
      <c r="H44" s="105">
        <f>SUM(H20:H43)</f>
        <v/>
      </c>
      <c r="I44" s="105">
        <f>SUM(I20:I43)</f>
        <v/>
      </c>
    </row>
    <row r="45">
      <c r="A45" s="1" t="inlineStr">
        <is>
          <t>Gross Profit</t>
        </is>
      </c>
      <c r="B45" t="inlineStr">
        <is>
          <t>Subtotal</t>
        </is>
      </c>
      <c r="C45" s="105">
        <f>C17+C44</f>
        <v/>
      </c>
      <c r="D45" s="105">
        <f>D17+D44</f>
        <v/>
      </c>
      <c r="E45" s="105">
        <f>E17+E44</f>
        <v/>
      </c>
      <c r="F45" s="105">
        <f>F17+F44</f>
        <v/>
      </c>
      <c r="G45" s="105">
        <f>G17+G44</f>
        <v/>
      </c>
      <c r="H45" s="105">
        <f>H17+H44</f>
        <v/>
      </c>
      <c r="I45" s="105">
        <f>I17+I44</f>
        <v/>
      </c>
    </row>
    <row r="47">
      <c r="A47" s="122" t="inlineStr">
        <is>
          <t>OPERATING EXPENSES</t>
        </is>
      </c>
      <c r="B47" s="123" t="n"/>
      <c r="C47" s="123" t="n"/>
      <c r="D47" s="123" t="n"/>
      <c r="E47" s="123" t="n"/>
      <c r="F47" s="123" t="n"/>
      <c r="G47" s="123" t="n"/>
      <c r="H47" s="123" t="n"/>
      <c r="I47" s="123" t="n"/>
    </row>
    <row r="48">
      <c r="A48" t="inlineStr">
        <is>
          <t>Labor - Office</t>
        </is>
      </c>
      <c r="B48" t="inlineStr">
        <is>
          <t>OpEx</t>
        </is>
      </c>
      <c r="C48" s="117">
        <f>-ROUND(11700205*0.2130393289,0)</f>
        <v/>
      </c>
      <c r="D48" s="117">
        <f>-ROUND(16619067*0.2130393289,0)</f>
        <v/>
      </c>
      <c r="E48" s="117">
        <f>-ROUND(18105342*0.2130393289,0)</f>
        <v/>
      </c>
      <c r="F48" s="5">
        <f>-6354921</f>
        <v/>
      </c>
      <c r="G48" s="117">
        <f>ROUND(F48*1.05^(1),0)</f>
        <v/>
      </c>
      <c r="H48" s="117">
        <f>ROUND(F48*1.05^(2),0)</f>
        <v/>
      </c>
      <c r="I48" s="117">
        <f>ROUND(F48*1.05^(3),0)</f>
        <v/>
      </c>
    </row>
    <row r="49">
      <c r="A49" t="inlineStr">
        <is>
          <t>PR Taxes - Office</t>
        </is>
      </c>
      <c r="B49" t="inlineStr">
        <is>
          <t>OpEx</t>
        </is>
      </c>
      <c r="C49" s="117">
        <f>-ROUND(11700205*0.0166420146,0)</f>
        <v/>
      </c>
      <c r="D49" s="117">
        <f>-ROUND(16619067*0.0166420146,0)</f>
        <v/>
      </c>
      <c r="E49" s="117">
        <f>-ROUND(18105342*0.0166420146,0)</f>
        <v/>
      </c>
      <c r="F49" s="5">
        <f>-496428</f>
        <v/>
      </c>
      <c r="G49" s="117">
        <f>ROUND(F49*1.05^(1),0)</f>
        <v/>
      </c>
      <c r="H49" s="117">
        <f>ROUND(F49*1.05^(2),0)</f>
        <v/>
      </c>
      <c r="I49" s="117">
        <f>ROUND(F49*1.05^(3),0)</f>
        <v/>
      </c>
    </row>
    <row r="50">
      <c r="A50" t="inlineStr">
        <is>
          <t>Rent</t>
        </is>
      </c>
      <c r="B50" t="inlineStr">
        <is>
          <t>OpEx</t>
        </is>
      </c>
      <c r="C50" s="117">
        <f>-ROUND(11700205*0.4742264129,0)</f>
        <v/>
      </c>
      <c r="D50" s="117">
        <f>-ROUND(16619067*0.4742264129,0)</f>
        <v/>
      </c>
      <c r="E50" s="117">
        <f>-ROUND(18105342*0.4742264129,0)</f>
        <v/>
      </c>
      <c r="F50" s="5">
        <f>-14146080</f>
        <v/>
      </c>
      <c r="G50" s="117">
        <f>ROUND(F50*1.05^(1),0)</f>
        <v/>
      </c>
      <c r="H50" s="117">
        <f>ROUND(F50*1.05^(2),0)</f>
        <v/>
      </c>
      <c r="I50" s="117">
        <f>ROUND(F50*1.05^(3),0)</f>
        <v/>
      </c>
      <c r="J50" s="124" t="inlineStr">
        <is>
          <t>Rent - $14.1M is significant, review lease terms</t>
        </is>
      </c>
    </row>
    <row r="51">
      <c r="A51" t="inlineStr">
        <is>
          <t>Office Supplies</t>
        </is>
      </c>
      <c r="B51" t="inlineStr">
        <is>
          <t>OpEx</t>
        </is>
      </c>
      <c r="C51" s="117">
        <f>-ROUND(11700205*0.0098608767,0)</f>
        <v/>
      </c>
      <c r="D51" s="117">
        <f>-ROUND(16619067*0.0098608767,0)</f>
        <v/>
      </c>
      <c r="E51" s="117">
        <f>-ROUND(18105342*0.0098608767,0)</f>
        <v/>
      </c>
      <c r="F51" s="5">
        <f>-294148</f>
        <v/>
      </c>
      <c r="G51" s="117">
        <f>ROUND(F51*1.05^(1),0)</f>
        <v/>
      </c>
      <c r="H51" s="117">
        <f>ROUND(F51*1.05^(2),0)</f>
        <v/>
      </c>
      <c r="I51" s="117">
        <f>ROUND(F51*1.05^(3),0)</f>
        <v/>
      </c>
    </row>
    <row r="52">
      <c r="A52" t="inlineStr">
        <is>
          <t>Computer fees</t>
        </is>
      </c>
      <c r="B52" t="inlineStr">
        <is>
          <t>OpEx</t>
        </is>
      </c>
      <c r="C52" s="117">
        <f>-ROUND(11700205*0.0534303915,0)</f>
        <v/>
      </c>
      <c r="D52" s="117">
        <f>-ROUND(16619067*0.0534303915,0)</f>
        <v/>
      </c>
      <c r="E52" s="117">
        <f>-ROUND(18105342*0.0534303915,0)</f>
        <v/>
      </c>
      <c r="F52" s="5">
        <f>-1593818</f>
        <v/>
      </c>
      <c r="G52" s="117">
        <f>ROUND(F52*1.05^(1),0)</f>
        <v/>
      </c>
      <c r="H52" s="117">
        <f>ROUND(F52*1.05^(2),0)</f>
        <v/>
      </c>
      <c r="I52" s="117">
        <f>ROUND(F52*1.05^(3),0)</f>
        <v/>
      </c>
    </row>
    <row r="53">
      <c r="A53" t="inlineStr">
        <is>
          <t>Professional Fees</t>
        </is>
      </c>
      <c r="B53" t="inlineStr">
        <is>
          <t>OpEx</t>
        </is>
      </c>
      <c r="C53" s="117">
        <f>-ROUND(11700205*0.0842405189,0)</f>
        <v/>
      </c>
      <c r="D53" s="117">
        <f>-ROUND(16619067*0.0842405189,0)</f>
        <v/>
      </c>
      <c r="E53" s="117">
        <f>-ROUND(18105342*0.0842405189,0)</f>
        <v/>
      </c>
      <c r="F53" s="5">
        <f>-2512878</f>
        <v/>
      </c>
      <c r="G53" s="117">
        <f>ROUND(F53*1.05^(1),0)</f>
        <v/>
      </c>
      <c r="H53" s="117">
        <f>ROUND(F53*1.05^(2),0)</f>
        <v/>
      </c>
      <c r="I53" s="117">
        <f>ROUND(F53*1.05^(3),0)</f>
        <v/>
      </c>
      <c r="J53" s="124" t="inlineStr">
        <is>
          <t>Professional Fees - consider one-time vs recurring</t>
        </is>
      </c>
    </row>
    <row r="54">
      <c r="A54" t="inlineStr">
        <is>
          <t>Building Expenses</t>
        </is>
      </c>
      <c r="B54" t="inlineStr">
        <is>
          <t>OpEx</t>
        </is>
      </c>
      <c r="C54" s="117">
        <f>-ROUND(11700205*0.0271376592,0)</f>
        <v/>
      </c>
      <c r="D54" s="117">
        <f>-ROUND(16619067*0.0271376592,0)</f>
        <v/>
      </c>
      <c r="E54" s="117">
        <f>-ROUND(18105342*0.0271376592,0)</f>
        <v/>
      </c>
      <c r="F54" s="5">
        <f>-809511</f>
        <v/>
      </c>
      <c r="G54" s="117">
        <f>ROUND(F54*1.05^(1),0)</f>
        <v/>
      </c>
      <c r="H54" s="117">
        <f>ROUND(F54*1.05^(2),0)</f>
        <v/>
      </c>
      <c r="I54" s="117">
        <f>ROUND(F54*1.05^(3),0)</f>
        <v/>
      </c>
    </row>
    <row r="55">
      <c r="A55" t="inlineStr">
        <is>
          <t>Utilities</t>
        </is>
      </c>
      <c r="B55" t="inlineStr">
        <is>
          <t>OpEx</t>
        </is>
      </c>
      <c r="C55" s="117">
        <f>-ROUND(11700205*0.0209571622,0)</f>
        <v/>
      </c>
      <c r="D55" s="117">
        <f>-ROUND(16619067*0.0209571622,0)</f>
        <v/>
      </c>
      <c r="E55" s="117">
        <f>-ROUND(18105342*0.0209571622,0)</f>
        <v/>
      </c>
      <c r="F55" s="5">
        <f>-625148</f>
        <v/>
      </c>
      <c r="G55" s="117">
        <f>ROUND(F55*1.05^(1),0)</f>
        <v/>
      </c>
      <c r="H55" s="117">
        <f>ROUND(F55*1.05^(2),0)</f>
        <v/>
      </c>
      <c r="I55" s="117">
        <f>ROUND(F55*1.05^(3),0)</f>
        <v/>
      </c>
    </row>
    <row r="56">
      <c r="A56" t="inlineStr">
        <is>
          <t>Advertising &amp; Marketing</t>
        </is>
      </c>
      <c r="B56" t="inlineStr">
        <is>
          <t>OpEx</t>
        </is>
      </c>
      <c r="C56" s="117">
        <f>-ROUND(11700205*0.0156472711,0)</f>
        <v/>
      </c>
      <c r="D56" s="117">
        <f>-ROUND(16619067*0.0156472711,0)</f>
        <v/>
      </c>
      <c r="E56" s="117">
        <f>-ROUND(18105342*0.0156472711,0)</f>
        <v/>
      </c>
      <c r="F56" s="5">
        <f>-466755</f>
        <v/>
      </c>
      <c r="G56" s="117">
        <f>ROUND(F56*1.05^(1),0)</f>
        <v/>
      </c>
      <c r="H56" s="117">
        <f>ROUND(F56*1.05^(2),0)</f>
        <v/>
      </c>
      <c r="I56" s="117">
        <f>ROUND(F56*1.05^(3),0)</f>
        <v/>
      </c>
    </row>
    <row r="57">
      <c r="A57" t="inlineStr">
        <is>
          <t>Travel/Meals/Entertainment</t>
        </is>
      </c>
      <c r="B57" t="inlineStr">
        <is>
          <t>OpEx</t>
        </is>
      </c>
      <c r="C57" s="117">
        <f>-ROUND(11700205*0.0091037815,0)</f>
        <v/>
      </c>
      <c r="D57" s="117">
        <f>-ROUND(16619067*0.0091037815,0)</f>
        <v/>
      </c>
      <c r="E57" s="117">
        <f>-ROUND(18105342*0.0091037815,0)</f>
        <v/>
      </c>
      <c r="F57" s="5">
        <f>-271564</f>
        <v/>
      </c>
      <c r="G57" s="117">
        <f>ROUND(F57*1.05^(1),0)</f>
        <v/>
      </c>
      <c r="H57" s="117">
        <f>ROUND(F57*1.05^(2),0)</f>
        <v/>
      </c>
      <c r="I57" s="117">
        <f>ROUND(F57*1.05^(3),0)</f>
        <v/>
      </c>
    </row>
    <row r="58">
      <c r="A58" t="inlineStr">
        <is>
          <t>Safety/Recruiting/Retention</t>
        </is>
      </c>
      <c r="B58" t="inlineStr">
        <is>
          <t>OpEx</t>
        </is>
      </c>
      <c r="C58" s="117">
        <f>-ROUND(11700205*0.0048624191,0)</f>
        <v/>
      </c>
      <c r="D58" s="117">
        <f>-ROUND(16619067*0.0048624191,0)</f>
        <v/>
      </c>
      <c r="E58" s="117">
        <f>-ROUND(18105342*0.0048624191,0)</f>
        <v/>
      </c>
      <c r="F58" s="5">
        <f>-145045</f>
        <v/>
      </c>
      <c r="G58" s="117">
        <f>ROUND(F58*1.05^(1),0)</f>
        <v/>
      </c>
      <c r="H58" s="117">
        <f>ROUND(F58*1.05^(2),0)</f>
        <v/>
      </c>
      <c r="I58" s="117">
        <f>ROUND(F58*1.05^(3),0)</f>
        <v/>
      </c>
    </row>
    <row r="59">
      <c r="A59" t="inlineStr">
        <is>
          <t>Education &amp; Training</t>
        </is>
      </c>
      <c r="B59" t="inlineStr">
        <is>
          <t>OpEx</t>
        </is>
      </c>
      <c r="C59" s="117">
        <f>-ROUND(11700205*0.0028215407,0)</f>
        <v/>
      </c>
      <c r="D59" s="117">
        <f>-ROUND(16619067*0.0028215407,0)</f>
        <v/>
      </c>
      <c r="E59" s="117">
        <f>-ROUND(18105342*0.0028215407,0)</f>
        <v/>
      </c>
      <c r="F59" s="5">
        <f>-84166</f>
        <v/>
      </c>
      <c r="G59" s="117">
        <f>ROUND(F59*1.05^(1),0)</f>
        <v/>
      </c>
      <c r="H59" s="117">
        <f>ROUND(F59*1.05^(2),0)</f>
        <v/>
      </c>
      <c r="I59" s="117">
        <f>ROUND(F59*1.05^(3),0)</f>
        <v/>
      </c>
    </row>
    <row r="60">
      <c r="A60" t="inlineStr">
        <is>
          <t>Insurance</t>
        </is>
      </c>
      <c r="B60" t="inlineStr">
        <is>
          <t>OpEx</t>
        </is>
      </c>
      <c r="C60" s="117">
        <f>-ROUND(11700205*0.0434984449,0)</f>
        <v/>
      </c>
      <c r="D60" s="117">
        <f>-ROUND(16619067*0.0434984449,0)</f>
        <v/>
      </c>
      <c r="E60" s="117">
        <f>-ROUND(18105342*0.0434984449,0)</f>
        <v/>
      </c>
      <c r="F60" s="5">
        <f>-1297550</f>
        <v/>
      </c>
      <c r="G60" s="117">
        <f>ROUND(F60*1.05^(1),0)</f>
        <v/>
      </c>
      <c r="H60" s="117">
        <f>ROUND(F60*1.05^(2),0)</f>
        <v/>
      </c>
      <c r="I60" s="117">
        <f>ROUND(F60*1.05^(3),0)</f>
        <v/>
      </c>
      <c r="J60" s="124" t="inlineStr">
        <is>
          <t>Insurance OpEx - review vs COGS Insurance for classification</t>
        </is>
      </c>
    </row>
    <row r="61">
      <c r="A61" t="inlineStr">
        <is>
          <t>Bank fees</t>
        </is>
      </c>
      <c r="B61" t="inlineStr">
        <is>
          <t>OpEx</t>
        </is>
      </c>
      <c r="C61" s="117">
        <f>-ROUND(11700205*0.0245321776,0)</f>
        <v/>
      </c>
      <c r="D61" s="117">
        <f>-ROUND(16619067*0.0245321776,0)</f>
        <v/>
      </c>
      <c r="E61" s="117">
        <f>-ROUND(18105342*0.0245321776,0)</f>
        <v/>
      </c>
      <c r="F61" s="5">
        <f>-731790</f>
        <v/>
      </c>
      <c r="G61" s="117">
        <f>ROUND(F61*1.05^(1),0)</f>
        <v/>
      </c>
      <c r="H61" s="117">
        <f>ROUND(F61*1.05^(2),0)</f>
        <v/>
      </c>
      <c r="I61" s="117">
        <f>ROUND(F61*1.05^(3),0)</f>
        <v/>
      </c>
    </row>
    <row r="62">
      <c r="A62" s="1" t="inlineStr">
        <is>
          <t>Total OpEx</t>
        </is>
      </c>
      <c r="B62" t="inlineStr">
        <is>
          <t>Subtotal</t>
        </is>
      </c>
      <c r="C62" s="105">
        <f>SUM(C48:C61)</f>
        <v/>
      </c>
      <c r="D62" s="105">
        <f>SUM(D48:D61)</f>
        <v/>
      </c>
      <c r="E62" s="105">
        <f>SUM(E48:E61)</f>
        <v/>
      </c>
      <c r="F62" s="105">
        <f>SUM(F48:F61)</f>
        <v/>
      </c>
      <c r="G62" s="105">
        <f>SUM(G48:G61)</f>
        <v/>
      </c>
      <c r="H62" s="105">
        <f>SUM(H48:H61)</f>
        <v/>
      </c>
      <c r="I62" s="105">
        <f>SUM(I48:I61)</f>
        <v/>
      </c>
    </row>
    <row r="64">
      <c r="A64" s="122" t="inlineStr">
        <is>
          <t>SUMMARY &amp; CHECKS</t>
        </is>
      </c>
      <c r="B64" s="123" t="n"/>
      <c r="C64" s="123" t="n"/>
      <c r="D64" s="123" t="n"/>
      <c r="E64" s="123" t="n"/>
      <c r="F64" s="123" t="n"/>
      <c r="G64" s="123" t="n"/>
      <c r="H64" s="123" t="n"/>
      <c r="I64" s="123" t="n"/>
    </row>
    <row r="65">
      <c r="A65" s="1" t="inlineStr">
        <is>
          <t>EBITDA</t>
        </is>
      </c>
      <c r="B65" t="inlineStr">
        <is>
          <t>Subtotal</t>
        </is>
      </c>
      <c r="C65" s="105">
        <f>C45+C62</f>
        <v/>
      </c>
      <c r="D65" s="105">
        <f>D45+D62</f>
        <v/>
      </c>
      <c r="E65" s="105">
        <f>E45+E62</f>
        <v/>
      </c>
      <c r="F65" s="105">
        <f>F45+F62</f>
        <v/>
      </c>
      <c r="G65" s="105">
        <f>G45+G62</f>
        <v/>
      </c>
      <c r="H65" s="105">
        <f>H45+H62</f>
        <v/>
      </c>
      <c r="I65" s="105">
        <f>I45+I62</f>
        <v/>
      </c>
    </row>
    <row r="66">
      <c r="A66" t="inlineStr">
        <is>
          <t>EBITDA Margin %</t>
        </is>
      </c>
      <c r="B66" t="inlineStr">
        <is>
          <t>Metric</t>
        </is>
      </c>
      <c r="C66" s="114">
        <f>IF(C17=0,0,C65/C17)</f>
        <v/>
      </c>
      <c r="D66" s="114">
        <f>IF(D17=0,0,D65/D17)</f>
        <v/>
      </c>
      <c r="E66" s="114">
        <f>IF(E17=0,0,E65/E17)</f>
        <v/>
      </c>
      <c r="F66" s="114">
        <f>IF(F17=0,0,F65/F17)</f>
        <v/>
      </c>
      <c r="G66" s="114">
        <f>IF(G17=0,0,G65/G17)</f>
        <v/>
      </c>
      <c r="H66" s="114">
        <f>IF(H17=0,0,H65/H17)</f>
        <v/>
      </c>
      <c r="I66" s="114">
        <f>IF(I17=0,0,I65/I17)</f>
        <v/>
      </c>
    </row>
    <row r="68">
      <c r="A68" s="1" t="inlineStr">
        <is>
          <t>Check vs IS EBITDA (must be 0)</t>
        </is>
      </c>
      <c r="B68" t="inlineStr">
        <is>
          <t>Check</t>
        </is>
      </c>
      <c r="C68" s="125">
        <f>C65-'Income Statement'!B14</f>
        <v/>
      </c>
      <c r="D68" s="125">
        <f>D65-'Income Statement'!C14</f>
        <v/>
      </c>
      <c r="E68" s="125">
        <f>E65-'Income Statement'!D14</f>
        <v/>
      </c>
      <c r="F68" s="125">
        <f>F65-'Income Statement'!E14</f>
        <v/>
      </c>
      <c r="G68" s="125">
        <f>G65-'Income Statement'!F14</f>
        <v/>
      </c>
      <c r="H68" s="125">
        <f>H65-'Income Statement'!G14</f>
        <v/>
      </c>
      <c r="I68" s="125">
        <f>I65-'Income Statement'!H14</f>
        <v/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94.xml><?xml version="1.0" encoding="utf-8"?>
<worksheet xmlns="http://schemas.openxmlformats.org/spreadsheetml/2006/main">
  <sheetPr>
    <tabColor rgb="00006064"/>
    <outlinePr summaryBelow="1" summaryRight="1"/>
    <pageSetUpPr/>
  </sheetPr>
  <dimension ref="A1:F4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2" customWidth="1" min="1" max="1"/>
    <col width="50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2" t="inlineStr">
        <is>
          <t>QUALITY OF EARNINGS</t>
        </is>
      </c>
    </row>
    <row r="2">
      <c r="A2" s="62" t="inlineStr">
        <is>
          <t>Meiborg Companies, Inc.</t>
        </is>
      </c>
    </row>
    <row r="4">
      <c r="A4" s="126" t="inlineStr">
        <is>
          <t>Line Item</t>
        </is>
      </c>
      <c r="B4" s="126" t="inlineStr">
        <is>
          <t>Notes</t>
        </is>
      </c>
      <c r="C4" s="126" t="inlineStr">
        <is>
          <t>2022A</t>
        </is>
      </c>
      <c r="D4" s="126" t="inlineStr">
        <is>
          <t>2023A</t>
        </is>
      </c>
      <c r="E4" s="126" t="inlineStr">
        <is>
          <t>2024A</t>
        </is>
      </c>
      <c r="F4" s="126" t="inlineStr">
        <is>
          <t>2025A</t>
        </is>
      </c>
    </row>
    <row r="6">
      <c r="A6" s="127" t="inlineStr">
        <is>
          <t>REPORTED EBITDA</t>
        </is>
      </c>
      <c r="B6" s="128" t="n"/>
      <c r="C6" s="128" t="n"/>
      <c r="D6" s="128" t="n"/>
      <c r="E6" s="128" t="n"/>
      <c r="F6" s="128" t="n"/>
    </row>
    <row r="7">
      <c r="A7" t="inlineStr">
        <is>
          <t>Revenue</t>
        </is>
      </c>
      <c r="B7" t="inlineStr">
        <is>
          <t>Per Income Statement</t>
        </is>
      </c>
      <c r="C7" s="77">
        <f>'Income Statement'!B6</f>
        <v/>
      </c>
      <c r="D7" s="77">
        <f>'Income Statement'!C6</f>
        <v/>
      </c>
      <c r="E7" s="77">
        <f>'Income Statement'!D6</f>
        <v/>
      </c>
      <c r="F7" s="77">
        <f>'Income Statement'!E6</f>
        <v/>
      </c>
    </row>
    <row r="8">
      <c r="A8" t="inlineStr">
        <is>
          <t>Gross Profit</t>
        </is>
      </c>
      <c r="B8" t="inlineStr">
        <is>
          <t>Per Income Statement</t>
        </is>
      </c>
      <c r="C8" s="77">
        <f>'Income Statement'!B10</f>
        <v/>
      </c>
      <c r="D8" s="77">
        <f>'Income Statement'!C10</f>
        <v/>
      </c>
      <c r="E8" s="77">
        <f>'Income Statement'!D10</f>
        <v/>
      </c>
      <c r="F8" s="77">
        <f>'Income Statement'!E10</f>
        <v/>
      </c>
    </row>
    <row r="9">
      <c r="A9" t="inlineStr">
        <is>
          <t>Operating Expenses</t>
        </is>
      </c>
      <c r="B9" t="inlineStr">
        <is>
          <t>Per Income Statement (negative)</t>
        </is>
      </c>
      <c r="C9" s="77">
        <f>'Income Statement'!B13</f>
        <v/>
      </c>
      <c r="D9" s="77">
        <f>'Income Statement'!C13</f>
        <v/>
      </c>
      <c r="E9" s="77">
        <f>'Income Statement'!D13</f>
        <v/>
      </c>
      <c r="F9" s="77">
        <f>'Income Statement'!E13</f>
        <v/>
      </c>
    </row>
    <row r="10">
      <c r="A10" t="inlineStr">
        <is>
          <t>EBITDA per Management</t>
        </is>
      </c>
      <c r="B10" t="inlineStr">
        <is>
          <t>Per Income Statement - target $10.1M/$7.1M/$8.4M/$11.1M</t>
        </is>
      </c>
      <c r="C10" s="129">
        <f>'Income Statement'!B14</f>
        <v/>
      </c>
      <c r="D10" s="129">
        <f>'Income Statement'!C14</f>
        <v/>
      </c>
      <c r="E10" s="129">
        <f>'Income Statement'!D14</f>
        <v/>
      </c>
      <c r="F10" s="129">
        <f>'Income Statement'!E14</f>
        <v/>
      </c>
    </row>
    <row r="11">
      <c r="A11" t="inlineStr">
        <is>
          <t>EBITDA Margin %</t>
        </is>
      </c>
      <c r="B11">
        <f> EBITDA / Revenue</f>
        <v/>
      </c>
      <c r="C11" s="114">
        <f>IF(C7=0,0,C10/C7)</f>
        <v/>
      </c>
      <c r="D11" s="114">
        <f>IF(D7=0,0,D10/D7)</f>
        <v/>
      </c>
      <c r="E11" s="114">
        <f>IF(E7=0,0,E10/E7)</f>
        <v/>
      </c>
      <c r="F11" s="114">
        <f>IF(F7=0,0,F10/F7)</f>
        <v/>
      </c>
    </row>
    <row r="13">
      <c r="A13" s="127" t="inlineStr">
        <is>
          <t>DUE DILIGENCE ADJUSTMENTS</t>
        </is>
      </c>
      <c r="B13" s="128" t="n"/>
      <c r="C13" s="128" t="n"/>
      <c r="D13" s="128" t="n"/>
      <c r="E13" s="128" t="n"/>
      <c r="F13" s="128" t="n"/>
    </row>
    <row r="14">
      <c r="A14" t="inlineStr">
        <is>
          <t>Non-Recurring Legal/Professional Fees</t>
        </is>
      </c>
      <c r="B14" s="9" t="inlineStr">
        <is>
          <t>Placeholder - need detail from client on one-time vs recurring legal/prof fees in $2.5M total</t>
        </is>
      </c>
      <c r="C14" s="5">
        <f>0</f>
        <v/>
      </c>
      <c r="D14" s="5">
        <f>0</f>
        <v/>
      </c>
      <c r="E14" s="5">
        <f>0</f>
        <v/>
      </c>
      <c r="F14" s="5">
        <f>0</f>
        <v/>
      </c>
    </row>
    <row r="15">
      <c r="A15" t="inlineStr">
        <is>
          <t>Owner Compensation Normalization</t>
        </is>
      </c>
      <c r="B15" s="9" t="inlineStr">
        <is>
          <t>Placeholder - need detail on owner comp levels vs market rate for replacement mgmt</t>
        </is>
      </c>
      <c r="C15" s="5">
        <f>0</f>
        <v/>
      </c>
      <c r="D15" s="5">
        <f>0</f>
        <v/>
      </c>
      <c r="E15" s="5">
        <f>0</f>
        <v/>
      </c>
      <c r="F15" s="5">
        <f>0</f>
        <v/>
      </c>
    </row>
    <row r="16">
      <c r="A16" t="inlineStr">
        <is>
          <t>Related Party Rent Adjustment</t>
        </is>
      </c>
      <c r="B16" s="9" t="inlineStr">
        <is>
          <t>Review required: $14.1M rent expense in 2025 - verify market rate. Properties owned by related entities.</t>
        </is>
      </c>
      <c r="C16" s="5">
        <f>0</f>
        <v/>
      </c>
      <c r="D16" s="5">
        <f>0</f>
        <v/>
      </c>
      <c r="E16" s="5">
        <f>0</f>
        <v/>
      </c>
      <c r="F16" s="5">
        <f>0</f>
        <v/>
      </c>
    </row>
    <row r="17">
      <c r="A17" t="inlineStr">
        <is>
          <t>One-Time Transaction Costs</t>
        </is>
      </c>
      <c r="B17" s="9" t="inlineStr">
        <is>
          <t>Placeholder - identify any M&amp;A, refinancing, or other one-time transaction costs</t>
        </is>
      </c>
      <c r="C17" s="5">
        <f>0</f>
        <v/>
      </c>
      <c r="D17" s="5">
        <f>0</f>
        <v/>
      </c>
      <c r="E17" s="5">
        <f>0</f>
        <v/>
      </c>
      <c r="F17" s="5">
        <f>0</f>
        <v/>
      </c>
    </row>
    <row r="18">
      <c r="A18" t="inlineStr">
        <is>
          <t>Non-Operating Expenses</t>
        </is>
      </c>
      <c r="B18" s="9" t="inlineStr">
        <is>
          <t>Placeholder - any non-operating or extraordinary expenses</t>
        </is>
      </c>
      <c r="C18" s="5">
        <f>0</f>
        <v/>
      </c>
      <c r="D18" s="5">
        <f>0</f>
        <v/>
      </c>
      <c r="E18" s="5">
        <f>0</f>
        <v/>
      </c>
      <c r="F18" s="5">
        <f>0</f>
        <v/>
      </c>
    </row>
    <row r="19">
      <c r="A19" t="inlineStr">
        <is>
          <t>Inventory Obsolescence Reserve</t>
        </is>
      </c>
      <c r="B19" s="9" t="inlineStr">
        <is>
          <t>Placeholder - review inventory aging and obsolescence provisions</t>
        </is>
      </c>
      <c r="C19" s="5">
        <f>0</f>
        <v/>
      </c>
      <c r="D19" s="5">
        <f>0</f>
        <v/>
      </c>
      <c r="E19" s="5">
        <f>0</f>
        <v/>
      </c>
      <c r="F19" s="5">
        <f>0</f>
        <v/>
      </c>
    </row>
    <row r="20">
      <c r="A20" t="inlineStr">
        <is>
          <t>AR Bad Debt Adjustment</t>
        </is>
      </c>
      <c r="B20" s="9" t="inlineStr">
        <is>
          <t>Placeholder - review AR aging ($8.4M total, 78% current, 12% &gt;20 days)</t>
        </is>
      </c>
      <c r="C20" s="5">
        <f>0</f>
        <v/>
      </c>
      <c r="D20" s="5">
        <f>0</f>
        <v/>
      </c>
      <c r="E20" s="5">
        <f>0</f>
        <v/>
      </c>
      <c r="F20" s="5">
        <f>0</f>
        <v/>
      </c>
    </row>
    <row r="21">
      <c r="A21" t="inlineStr">
        <is>
          <t>Insurance Normalization</t>
        </is>
      </c>
      <c r="B21" s="9" t="inlineStr">
        <is>
          <t>Review: $1.3M insurance in OpEx + $2.2M in COGS = $3.5M total - verify market rate</t>
        </is>
      </c>
      <c r="C21" s="5">
        <f>0</f>
        <v/>
      </c>
      <c r="D21" s="5">
        <f>0</f>
        <v/>
      </c>
      <c r="E21" s="5">
        <f>0</f>
        <v/>
      </c>
      <c r="F21" s="5">
        <f>0</f>
        <v/>
      </c>
    </row>
    <row r="22">
      <c r="A22" s="1" t="inlineStr">
        <is>
          <t>Subtotal DD Adjustments</t>
        </is>
      </c>
      <c r="B22" t="inlineStr">
        <is>
          <t>Sum of rows above</t>
        </is>
      </c>
      <c r="C22" s="68">
        <f>SUM(C14:C21)</f>
        <v/>
      </c>
      <c r="D22" s="68">
        <f>SUM(D14:D21)</f>
        <v/>
      </c>
      <c r="E22" s="68">
        <f>SUM(E14:E21)</f>
        <v/>
      </c>
      <c r="F22" s="68">
        <f>SUM(F14:F21)</f>
        <v/>
      </c>
    </row>
    <row r="24">
      <c r="A24" s="127" t="inlineStr">
        <is>
          <t>PRO FORMA ADJUSTMENTS</t>
        </is>
      </c>
      <c r="B24" s="128" t="n"/>
      <c r="C24" s="128" t="n"/>
      <c r="D24" s="128" t="n"/>
      <c r="E24" s="128" t="n"/>
      <c r="F24" s="128" t="n"/>
    </row>
    <row r="25">
      <c r="A25" t="inlineStr">
        <is>
          <t>Debt Service Savings (Refi)</t>
        </is>
      </c>
      <c r="B25" t="inlineStr">
        <is>
          <t>Per mandate thesis - $50.4M refi saves $4.3M/yr in debt service</t>
        </is>
      </c>
      <c r="C25" s="5">
        <f>4300000</f>
        <v/>
      </c>
      <c r="D25" s="5">
        <f>4300000</f>
        <v/>
      </c>
      <c r="E25" s="5">
        <f>4300000</f>
        <v/>
      </c>
      <c r="F25" s="5">
        <f>4300000</f>
        <v/>
      </c>
    </row>
    <row r="26">
      <c r="A26" t="inlineStr">
        <is>
          <t>Interest Savings (PropCo at 6.5% vs 9%)</t>
        </is>
      </c>
      <c r="B26" t="inlineStr">
        <is>
          <t>PropCo RE loans: $13M * (9% - 6.5%) = $325K/yr savings</t>
        </is>
      </c>
      <c r="C26" s="5">
        <f>13000000*(0.09-0.065)</f>
        <v/>
      </c>
      <c r="D26" s="5">
        <f>13000000*(0.09-0.065)</f>
        <v/>
      </c>
      <c r="E26" s="5">
        <f>13000000*(0.09-0.065)</f>
        <v/>
      </c>
      <c r="F26" s="5">
        <f>13000000*(0.09-0.065)</f>
        <v/>
      </c>
    </row>
    <row r="27">
      <c r="A27" t="inlineStr">
        <is>
          <t>ABL Interest Cost (new facility)</t>
        </is>
      </c>
      <c r="B27" t="inlineStr">
        <is>
          <t>New ABL facility: $8M * 10% = ($800K)/yr estimated cost</t>
        </is>
      </c>
      <c r="C27" s="5">
        <f>-8000000*0.10</f>
        <v/>
      </c>
      <c r="D27" s="5">
        <f>-8000000*0.10</f>
        <v/>
      </c>
      <c r="E27" s="5">
        <f>-8000000*0.10</f>
        <v/>
      </c>
      <c r="F27" s="5">
        <f>-8000000*0.10</f>
        <v/>
      </c>
    </row>
    <row r="28">
      <c r="A28" t="inlineStr">
        <is>
          <t>Management Fee Normalization</t>
        </is>
      </c>
      <c r="B28" t="inlineStr">
        <is>
          <t>Placeholder - any required management fee adjustments</t>
        </is>
      </c>
      <c r="C28" s="5">
        <f>0</f>
        <v/>
      </c>
      <c r="D28" s="5">
        <f>0</f>
        <v/>
      </c>
      <c r="E28" s="5">
        <f>0</f>
        <v/>
      </c>
      <c r="F28" s="5">
        <f>0</f>
        <v/>
      </c>
    </row>
    <row r="29">
      <c r="A29" s="1" t="inlineStr">
        <is>
          <t>Subtotal PF Adjustments</t>
        </is>
      </c>
      <c r="B29" t="inlineStr">
        <is>
          <t>Sum of rows above</t>
        </is>
      </c>
      <c r="C29" s="68">
        <f>SUM(C25:C28)</f>
        <v/>
      </c>
      <c r="D29" s="68">
        <f>SUM(D25:D28)</f>
        <v/>
      </c>
      <c r="E29" s="68">
        <f>SUM(E25:E28)</f>
        <v/>
      </c>
      <c r="F29" s="68">
        <f>SUM(F25:F28)</f>
        <v/>
      </c>
    </row>
    <row r="31">
      <c r="A31" s="127" t="inlineStr">
        <is>
          <t>ADJUSTED EBITDA</t>
        </is>
      </c>
      <c r="B31" s="128" t="n"/>
      <c r="C31" s="128" t="n"/>
      <c r="D31" s="128" t="n"/>
      <c r="E31" s="128" t="n"/>
      <c r="F31" s="128" t="n"/>
    </row>
    <row r="32">
      <c r="A32" t="inlineStr">
        <is>
          <t>Reported EBITDA</t>
        </is>
      </c>
      <c r="B32" t="inlineStr">
        <is>
          <t>Link to row above</t>
        </is>
      </c>
      <c r="C32" s="76">
        <f>C10</f>
        <v/>
      </c>
      <c r="D32" s="76">
        <f>D10</f>
        <v/>
      </c>
      <c r="E32" s="76">
        <f>E10</f>
        <v/>
      </c>
      <c r="F32" s="76">
        <f>F10</f>
        <v/>
      </c>
    </row>
    <row r="33">
      <c r="A33" t="inlineStr">
        <is>
          <t>+ DD Adjustments</t>
        </is>
      </c>
      <c r="B33" t="inlineStr">
        <is>
          <t>Link to DD subtotal</t>
        </is>
      </c>
      <c r="C33" s="76">
        <f>C22</f>
        <v/>
      </c>
      <c r="D33" s="76">
        <f>D22</f>
        <v/>
      </c>
      <c r="E33" s="76">
        <f>E22</f>
        <v/>
      </c>
      <c r="F33" s="76">
        <f>F22</f>
        <v/>
      </c>
    </row>
    <row r="34">
      <c r="A34" t="inlineStr">
        <is>
          <t>+ Pro Forma Adjustments</t>
        </is>
      </c>
      <c r="B34" t="inlineStr">
        <is>
          <t>Link to PF subtotal</t>
        </is>
      </c>
      <c r="C34" s="76">
        <f>C29</f>
        <v/>
      </c>
      <c r="D34" s="76">
        <f>D29</f>
        <v/>
      </c>
      <c r="E34" s="76">
        <f>E29</f>
        <v/>
      </c>
      <c r="F34" s="76">
        <f>F29</f>
        <v/>
      </c>
    </row>
    <row r="35">
      <c r="A35" s="1" t="inlineStr">
        <is>
          <t>ADJUSTED EBITDA</t>
        </is>
      </c>
      <c r="B35">
        <f> Reported + DD + PF</f>
        <v/>
      </c>
      <c r="C35" s="130">
        <f>C32+C33+C34</f>
        <v/>
      </c>
      <c r="D35" s="130">
        <f>D32+D33+D34</f>
        <v/>
      </c>
      <c r="E35" s="130">
        <f>E32+E33+E34</f>
        <v/>
      </c>
      <c r="F35" s="130">
        <f>F32+F33+F34</f>
        <v/>
      </c>
    </row>
    <row r="36">
      <c r="A36" t="inlineStr">
        <is>
          <t>Adjusted EBITDA Margin %</t>
        </is>
      </c>
      <c r="B36">
        <f> Adjusted EBITDA / Revenue</f>
        <v/>
      </c>
      <c r="C36" s="114">
        <f>IF(C7=0,0,C35/C7)</f>
        <v/>
      </c>
      <c r="D36" s="114">
        <f>IF(D7=0,0,D35/D7)</f>
        <v/>
      </c>
      <c r="E36" s="114">
        <f>IF(E7=0,0,E35/E7)</f>
        <v/>
      </c>
      <c r="F36" s="114">
        <f>IF(F7=0,0,F35/F7)</f>
        <v/>
      </c>
    </row>
    <row r="38">
      <c r="A38" s="127" t="inlineStr">
        <is>
          <t>KEY CREDIT METRICS</t>
        </is>
      </c>
      <c r="B38" s="128" t="n"/>
      <c r="C38" s="128" t="n"/>
      <c r="D38" s="128" t="n"/>
      <c r="E38" s="128" t="n"/>
      <c r="F38" s="128" t="n"/>
    </row>
    <row r="39">
      <c r="A39" t="inlineStr">
        <is>
          <t>Total Debt (Current)</t>
        </is>
      </c>
      <c r="B39" t="inlineStr">
        <is>
          <t>Per Debt Schedule as of 12/31/2025: $49,860,215</t>
        </is>
      </c>
      <c r="C39" s="5">
        <f>40412795</f>
        <v/>
      </c>
      <c r="D39" s="5">
        <f>41839745</f>
        <v/>
      </c>
      <c r="E39" s="5">
        <f>43333778</f>
        <v/>
      </c>
      <c r="F39" s="5">
        <f>49860215</f>
        <v/>
      </c>
    </row>
    <row r="40">
      <c r="A40" t="inlineStr">
        <is>
          <t>Net Debt</t>
        </is>
      </c>
      <c r="B40">
        <f> Total Debt - Cash (from Balance Sheet)</f>
        <v/>
      </c>
      <c r="C40" s="77">
        <f>C39-'Balance Sheet'!B7</f>
        <v/>
      </c>
      <c r="D40" s="77">
        <f>D39-'Balance Sheet'!C7</f>
        <v/>
      </c>
      <c r="E40" s="77">
        <f>E39-'Balance Sheet'!D7</f>
        <v/>
      </c>
      <c r="F40" s="77">
        <f>F39-'Balance Sheet'!E7</f>
        <v/>
      </c>
    </row>
    <row r="41">
      <c r="A41" t="inlineStr">
        <is>
          <t>Leverage (Debt / Adj EBITDA)</t>
        </is>
      </c>
      <c r="B41" t="inlineStr">
        <is>
          <t>Total Debt / Adjusted EBITDA</t>
        </is>
      </c>
      <c r="C41" s="131">
        <f>IF(C35=0,0,C39/C35)</f>
        <v/>
      </c>
      <c r="D41" s="131">
        <f>IF(D35=0,0,D39/D35)</f>
        <v/>
      </c>
      <c r="E41" s="131">
        <f>IF(E35=0,0,E39/E35)</f>
        <v/>
      </c>
      <c r="F41" s="131">
        <f>IF(F35=0,0,F39/F35)</f>
        <v/>
      </c>
    </row>
    <row r="42">
      <c r="A42" t="inlineStr">
        <is>
          <t>Net Leverage</t>
        </is>
      </c>
      <c r="B42" t="inlineStr">
        <is>
          <t>Net Debt / Adjusted EBITDA</t>
        </is>
      </c>
      <c r="C42" s="131">
        <f>IF(C35=0,0,C40/C35)</f>
        <v/>
      </c>
      <c r="D42" s="131">
        <f>IF(D35=0,0,D40/D35)</f>
        <v/>
      </c>
      <c r="E42" s="131">
        <f>IF(E35=0,0,E40/E35)</f>
        <v/>
      </c>
      <c r="F42" s="131">
        <f>IF(F35=0,0,F40/F35)</f>
        <v/>
      </c>
    </row>
    <row r="43">
      <c r="A43" t="inlineStr">
        <is>
          <t>DSCR (Adj EBITDA / Debt Service)</t>
        </is>
      </c>
      <c r="B43" t="inlineStr">
        <is>
          <t>Current DS ~$12.8M/yr; Post-refi ~$8.5M/yr</t>
        </is>
      </c>
      <c r="C43" s="131">
        <f>IF(12796164=0,0,C35/12796164)</f>
        <v/>
      </c>
      <c r="D43" s="131">
        <f>IF(12796164=0,0,D35/12796164)</f>
        <v/>
      </c>
      <c r="E43" s="131">
        <f>IF(12796164=0,0,E35/12796164)</f>
        <v/>
      </c>
      <c r="F43" s="131">
        <f>IF(12796164=0,0,F35/12796164)</f>
        <v/>
      </c>
    </row>
    <row r="44">
      <c r="A44" t="inlineStr">
        <is>
          <t>Interest Coverage</t>
        </is>
      </c>
      <c r="B44">
        <f> Adj EBITDA / Interest Expense (from IS)</f>
        <v/>
      </c>
      <c r="C44" s="132">
        <f>IF('Income Statement'!B21=0,0,C35/ABS('Income Statement'!B21))</f>
        <v/>
      </c>
      <c r="D44" s="132">
        <f>IF('Income Statement'!C21=0,0,D35/ABS('Income Statement'!C21))</f>
        <v/>
      </c>
      <c r="E44" s="132">
        <f>IF('Income Statement'!D21=0,0,E35/ABS('Income Statement'!D21))</f>
        <v/>
      </c>
      <c r="F44" s="132">
        <f>IF('Income Statement'!E21=0,0,F35/ABS('Income Statement'!E21))</f>
        <v/>
      </c>
    </row>
  </sheetData>
  <mergeCells count="1">
    <mergeCell ref="A1:F1"/>
  </mergeCells>
  <pageMargins left="0.75" right="0.75" top="1" bottom="1" header="0.5" footer="0.5"/>
  <legacyDrawing xmlns:r="http://schemas.openxmlformats.org/officeDocument/2006/relationships" r:id="anysvml"/>
</worksheet>
</file>

<file path=xl/worksheets/sheet95.xml><?xml version="1.0" encoding="utf-8"?>
<worksheet xmlns="http://schemas.openxmlformats.org/spreadsheetml/2006/main">
  <sheetPr>
    <tabColor rgb="00FF6F00"/>
    <outlinePr summaryBelow="1" summaryRight="1"/>
    <pageSetUpPr/>
  </sheetPr>
  <dimension ref="A1:H31"/>
  <sheetViews>
    <sheetView workbookViewId="0">
      <selection activeCell="A1" sqref="A1"/>
    </sheetView>
  </sheetViews>
  <sheetFormatPr baseColWidth="8" defaultRowHeight="15"/>
  <cols>
    <col width="8" customWidth="1" min="1" max="1"/>
    <col width="14" customWidth="1" min="2" max="2"/>
    <col width="55" customWidth="1" min="3" max="3"/>
    <col width="10" customWidth="1" min="4" max="4"/>
    <col width="12" customWidth="1" min="5" max="5"/>
    <col width="12" customWidth="1" min="6" max="6"/>
    <col width="10" customWidth="1" min="7" max="7"/>
    <col width="48" customWidth="1" min="8" max="8"/>
  </cols>
  <sheetData>
    <row r="1" ht="28" customHeight="1">
      <c r="A1" s="147" t="inlineStr">
        <is>
          <t>OPEN ITEMS &amp; ACTION LIST</t>
        </is>
      </c>
    </row>
    <row r="2">
      <c r="A2" s="148" t="inlineStr">
        <is>
          <t>Meiborg Companies, Inc.</t>
        </is>
      </c>
    </row>
    <row r="3">
      <c r="A3" s="149" t="inlineStr">
        <is>
          <t>May 14, 2026</t>
        </is>
      </c>
    </row>
    <row r="5" ht="22" customHeight="1">
      <c r="A5" s="150" t="inlineStr">
        <is>
          <t>Item #</t>
        </is>
      </c>
      <c r="B5" s="150" t="inlineStr">
        <is>
          <t>Category</t>
        </is>
      </c>
      <c r="C5" s="150" t="inlineStr">
        <is>
          <t>Description</t>
        </is>
      </c>
      <c r="D5" s="150" t="inlineStr">
        <is>
          <t>Priority</t>
        </is>
      </c>
      <c r="E5" s="150" t="inlineStr">
        <is>
          <t>Owner</t>
        </is>
      </c>
      <c r="F5" s="150" t="inlineStr">
        <is>
          <t>Due Date</t>
        </is>
      </c>
      <c r="G5" s="150" t="inlineStr">
        <is>
          <t>Status</t>
        </is>
      </c>
      <c r="H5" s="150" t="inlineStr">
        <is>
          <t>Notes</t>
        </is>
      </c>
    </row>
    <row r="6">
      <c r="A6" s="151" t="inlineStr">
        <is>
          <t>DATA ITEMS</t>
        </is>
      </c>
      <c r="B6" s="92" t="n"/>
      <c r="C6" s="92" t="n"/>
      <c r="D6" s="92" t="n"/>
      <c r="E6" s="92" t="n"/>
      <c r="F6" s="92" t="n"/>
      <c r="G6" s="92" t="n"/>
      <c r="H6" s="93" t="n"/>
    </row>
    <row r="7">
      <c r="A7" s="152" t="n">
        <v>1</v>
      </c>
      <c r="B7" s="153" t="inlineStr">
        <is>
          <t>Data</t>
        </is>
      </c>
      <c r="C7" s="153" t="inlineStr">
        <is>
          <t>Win Win Loan interest rates not specified in source</t>
        </is>
      </c>
      <c r="D7" s="154" t="inlineStr">
        <is>
          <t>High</t>
        </is>
      </c>
      <c r="E7" s="152" t="inlineStr">
        <is>
          <t>Client</t>
        </is>
      </c>
      <c r="F7" s="152" t="inlineStr">
        <is>
          <t>TBD</t>
        </is>
      </c>
      <c r="G7" s="155" t="inlineStr">
        <is>
          <t>Open</t>
        </is>
      </c>
      <c r="H7" s="153" t="inlineStr">
        <is>
          <t>Loans 83-84 show payment but no rate</t>
        </is>
      </c>
    </row>
    <row r="8">
      <c r="A8" s="152" t="n">
        <v>2</v>
      </c>
      <c r="B8" s="153" t="inlineStr">
        <is>
          <t>Data</t>
        </is>
      </c>
      <c r="C8" s="153" t="inlineStr">
        <is>
          <t>International Financial maturity date error (10/03/1930)</t>
        </is>
      </c>
      <c r="D8" s="156" t="inlineStr">
        <is>
          <t>Medium</t>
        </is>
      </c>
      <c r="E8" s="152" t="inlineStr">
        <is>
          <t>Client</t>
        </is>
      </c>
      <c r="F8" s="152" t="inlineStr">
        <is>
          <t>TBD</t>
        </is>
      </c>
      <c r="G8" s="155" t="inlineStr">
        <is>
          <t>Open</t>
        </is>
      </c>
      <c r="H8" s="153" t="inlineStr">
        <is>
          <t>Likely should be 10/03/2030 - confirm</t>
        </is>
      </c>
    </row>
    <row r="9">
      <c r="A9" s="152" t="n">
        <v>3</v>
      </c>
      <c r="B9" s="153" t="inlineStr">
        <is>
          <t>Data</t>
        </is>
      </c>
      <c r="C9" s="153" t="inlineStr">
        <is>
          <t>2024 actuals vs forecast reconciliation</t>
        </is>
      </c>
      <c r="D9" s="156" t="inlineStr">
        <is>
          <t>Medium</t>
        </is>
      </c>
      <c r="E9" s="152" t="inlineStr">
        <is>
          <t>Client</t>
        </is>
      </c>
      <c r="F9" s="152" t="inlineStr">
        <is>
          <t>TBD</t>
        </is>
      </c>
      <c r="G9" s="155" t="inlineStr">
        <is>
          <t>Open</t>
        </is>
      </c>
      <c r="H9" s="153" t="inlineStr">
        <is>
          <t>13-Year Summary shows "2024 FYF" - need audited</t>
        </is>
      </c>
    </row>
    <row r="10">
      <c r="A10" s="152" t="n">
        <v>4</v>
      </c>
      <c r="B10" s="153" t="inlineStr">
        <is>
          <t>Data</t>
        </is>
      </c>
      <c r="C10" s="153" t="inlineStr">
        <is>
          <t>Historical BS detail (2022-2024) incomplete</t>
        </is>
      </c>
      <c r="D10" s="157" t="inlineStr">
        <is>
          <t>Low</t>
        </is>
      </c>
      <c r="E10" s="152" t="inlineStr">
        <is>
          <t>Client</t>
        </is>
      </c>
      <c r="F10" s="152" t="inlineStr">
        <is>
          <t>TBD</t>
        </is>
      </c>
      <c r="G10" s="155" t="inlineStr">
        <is>
          <t>Open</t>
        </is>
      </c>
      <c r="H10" s="153" t="inlineStr">
        <is>
          <t>Summary-level only available</t>
        </is>
      </c>
    </row>
    <row r="11">
      <c r="A11" s="152" t="n">
        <v>5</v>
      </c>
      <c r="B11" s="153" t="inlineStr">
        <is>
          <t>Data</t>
        </is>
      </c>
      <c r="C11" s="153" t="inlineStr">
        <is>
          <t>AR aging vs BS A/R reconciliation</t>
        </is>
      </c>
      <c r="D11" s="157" t="inlineStr">
        <is>
          <t>Low</t>
        </is>
      </c>
      <c r="E11" s="152" t="inlineStr">
        <is>
          <t>N/A</t>
        </is>
      </c>
      <c r="F11" s="152" t="inlineStr">
        <is>
          <t>N/A</t>
        </is>
      </c>
      <c r="G11" s="158" t="inlineStr">
        <is>
          <t>Noted</t>
        </is>
      </c>
      <c r="H11" s="153" t="inlineStr">
        <is>
          <t>$8.43M (01/30/26) vs $11.39M (12/31/25) - timing normal</t>
        </is>
      </c>
    </row>
    <row r="12">
      <c r="A12" s="151" t="inlineStr">
        <is>
          <t>QOE ITEMS</t>
        </is>
      </c>
      <c r="B12" s="92" t="n"/>
      <c r="C12" s="92" t="n"/>
      <c r="D12" s="92" t="n"/>
      <c r="E12" s="92" t="n"/>
      <c r="F12" s="92" t="n"/>
      <c r="G12" s="92" t="n"/>
      <c r="H12" s="93" t="n"/>
    </row>
    <row r="13">
      <c r="A13" s="152" t="n">
        <v>6</v>
      </c>
      <c r="B13" s="153" t="inlineStr">
        <is>
          <t>QoE</t>
        </is>
      </c>
      <c r="C13" s="153" t="inlineStr">
        <is>
          <t>Owner compensation normalization</t>
        </is>
      </c>
      <c r="D13" s="154" t="inlineStr">
        <is>
          <t>High</t>
        </is>
      </c>
      <c r="E13" s="152" t="inlineStr">
        <is>
          <t>Advisor</t>
        </is>
      </c>
      <c r="F13" s="152" t="inlineStr">
        <is>
          <t>TBD</t>
        </is>
      </c>
      <c r="G13" s="155" t="inlineStr">
        <is>
          <t>Open</t>
        </is>
      </c>
      <c r="H13" s="153" t="inlineStr">
        <is>
          <t>Need detail on Zach Meiborg comp</t>
        </is>
      </c>
    </row>
    <row r="14">
      <c r="A14" s="152" t="n">
        <v>7</v>
      </c>
      <c r="B14" s="153" t="inlineStr">
        <is>
          <t>QoE</t>
        </is>
      </c>
      <c r="C14" s="153" t="inlineStr">
        <is>
          <t>Related party rent analysis</t>
        </is>
      </c>
      <c r="D14" s="154" t="inlineStr">
        <is>
          <t>High</t>
        </is>
      </c>
      <c r="E14" s="152" t="inlineStr">
        <is>
          <t>Advisor</t>
        </is>
      </c>
      <c r="F14" s="152" t="inlineStr">
        <is>
          <t>TBD</t>
        </is>
      </c>
      <c r="G14" s="155" t="inlineStr">
        <is>
          <t>Open</t>
        </is>
      </c>
      <c r="H14" s="153" t="inlineStr">
        <is>
          <t>$14.1M rent in 2025 - verify market rate</t>
        </is>
      </c>
    </row>
    <row r="15">
      <c r="A15" s="152" t="n">
        <v>8</v>
      </c>
      <c r="B15" s="153" t="inlineStr">
        <is>
          <t>QoE</t>
        </is>
      </c>
      <c r="C15" s="153" t="inlineStr">
        <is>
          <t>Non-recurring legal/professional fees</t>
        </is>
      </c>
      <c r="D15" s="156" t="inlineStr">
        <is>
          <t>Medium</t>
        </is>
      </c>
      <c r="E15" s="152" t="inlineStr">
        <is>
          <t>Client</t>
        </is>
      </c>
      <c r="F15" s="152" t="inlineStr">
        <is>
          <t>TBD</t>
        </is>
      </c>
      <c r="G15" s="155" t="inlineStr">
        <is>
          <t>Open</t>
        </is>
      </c>
      <c r="H15" s="153" t="inlineStr">
        <is>
          <t>Identify one-time transaction costs</t>
        </is>
      </c>
    </row>
    <row r="16">
      <c r="A16" s="152" t="n">
        <v>9</v>
      </c>
      <c r="B16" s="153" t="inlineStr">
        <is>
          <t>QoE</t>
        </is>
      </c>
      <c r="C16" s="153" t="inlineStr">
        <is>
          <t>Insurance cost normalization</t>
        </is>
      </c>
      <c r="D16" s="156" t="inlineStr">
        <is>
          <t>Medium</t>
        </is>
      </c>
      <c r="E16" s="152" t="inlineStr">
        <is>
          <t>Advisor</t>
        </is>
      </c>
      <c r="F16" s="152" t="inlineStr">
        <is>
          <t>TBD</t>
        </is>
      </c>
      <c r="G16" s="155" t="inlineStr">
        <is>
          <t>Open</t>
        </is>
      </c>
      <c r="H16" s="153" t="inlineStr">
        <is>
          <t>$3.5M total (COGS + OpEx) - benchmark</t>
        </is>
      </c>
    </row>
    <row r="17">
      <c r="A17" s="152" t="n">
        <v>10</v>
      </c>
      <c r="B17" s="153" t="inlineStr">
        <is>
          <t>QoE</t>
        </is>
      </c>
      <c r="C17" s="153" t="inlineStr">
        <is>
          <t>2024 Corvette loan - personal vs business</t>
        </is>
      </c>
      <c r="D17" s="157" t="inlineStr">
        <is>
          <t>Low</t>
        </is>
      </c>
      <c r="E17" s="152" t="inlineStr">
        <is>
          <t>Client</t>
        </is>
      </c>
      <c r="F17" s="152" t="inlineStr">
        <is>
          <t>TBD</t>
        </is>
      </c>
      <c r="G17" s="155" t="inlineStr">
        <is>
          <t>Open</t>
        </is>
      </c>
      <c r="H17" s="153" t="inlineStr">
        <is>
          <t>BoA Loan #57 - verify business purpose</t>
        </is>
      </c>
    </row>
    <row r="19">
      <c r="A19" s="151" t="inlineStr">
        <is>
          <t>MODEL ITEMS</t>
        </is>
      </c>
      <c r="B19" s="92" t="n"/>
      <c r="C19" s="92" t="n"/>
      <c r="D19" s="92" t="n"/>
      <c r="E19" s="92" t="n"/>
      <c r="F19" s="92" t="n"/>
      <c r="G19" s="92" t="n"/>
      <c r="H19" s="93" t="n"/>
    </row>
    <row r="20">
      <c r="A20" s="152" t="n">
        <v>11</v>
      </c>
      <c r="B20" s="153" t="inlineStr">
        <is>
          <t>Model</t>
        </is>
      </c>
      <c r="C20" s="153" t="inlineStr">
        <is>
          <t>Balance sheet balance check - historical years</t>
        </is>
      </c>
      <c r="D20" s="157" t="inlineStr">
        <is>
          <t>Low</t>
        </is>
      </c>
      <c r="E20" s="152" t="inlineStr">
        <is>
          <t>N/A</t>
        </is>
      </c>
      <c r="F20" s="152" t="inlineStr">
        <is>
          <t>N/A</t>
        </is>
      </c>
      <c r="G20" s="158" t="inlineStr">
        <is>
          <t>Known</t>
        </is>
      </c>
      <c r="H20" s="153" t="inlineStr">
        <is>
          <t>Source data limitations for 2022-2024</t>
        </is>
      </c>
    </row>
    <row r="21">
      <c r="A21" s="152" t="n">
        <v>12</v>
      </c>
      <c r="B21" s="153" t="inlineStr">
        <is>
          <t>Model</t>
        </is>
      </c>
      <c r="C21" s="153" t="inlineStr">
        <is>
          <t>Cash flow reconciliation - historical</t>
        </is>
      </c>
      <c r="D21" s="157" t="inlineStr">
        <is>
          <t>Low</t>
        </is>
      </c>
      <c r="E21" s="152" t="inlineStr">
        <is>
          <t>N/A</t>
        </is>
      </c>
      <c r="F21" s="152" t="inlineStr">
        <is>
          <t>N/A</t>
        </is>
      </c>
      <c r="G21" s="158" t="inlineStr">
        <is>
          <t>Known</t>
        </is>
      </c>
      <c r="H21" s="153" t="inlineStr">
        <is>
          <t>CF constructed from partial data</t>
        </is>
      </c>
    </row>
    <row r="22">
      <c r="A22" s="152" t="n">
        <v>13</v>
      </c>
      <c r="B22" s="153" t="inlineStr">
        <is>
          <t>Model</t>
        </is>
      </c>
      <c r="C22" s="153" t="inlineStr">
        <is>
          <t>Projection sensitivity analysis</t>
        </is>
      </c>
      <c r="D22" s="156" t="inlineStr">
        <is>
          <t>Medium</t>
        </is>
      </c>
      <c r="E22" s="152" t="inlineStr">
        <is>
          <t>Advisor</t>
        </is>
      </c>
      <c r="F22" s="152" t="inlineStr">
        <is>
          <t>TBD</t>
        </is>
      </c>
      <c r="G22" s="155" t="inlineStr">
        <is>
          <t>Open</t>
        </is>
      </c>
      <c r="H22" s="153" t="inlineStr">
        <is>
          <t>Run downside/upside scenarios</t>
        </is>
      </c>
    </row>
    <row r="23">
      <c r="A23" s="152" t="n">
        <v>14</v>
      </c>
      <c r="B23" s="153" t="inlineStr">
        <is>
          <t>Model</t>
        </is>
      </c>
      <c r="C23" s="153" t="inlineStr">
        <is>
          <t>PropCo separation modeling</t>
        </is>
      </c>
      <c r="D23" s="154" t="inlineStr">
        <is>
          <t>High</t>
        </is>
      </c>
      <c r="E23" s="152" t="inlineStr">
        <is>
          <t>Advisor</t>
        </is>
      </c>
      <c r="F23" s="152" t="inlineStr">
        <is>
          <t>TBD</t>
        </is>
      </c>
      <c r="G23" s="155" t="inlineStr">
        <is>
          <t>Open</t>
        </is>
      </c>
      <c r="H23" s="153" t="inlineStr">
        <is>
          <t>Carve-out analysis for IL real estate</t>
        </is>
      </c>
    </row>
    <row r="24">
      <c r="A24" s="152" t="n">
        <v>15</v>
      </c>
      <c r="B24" s="153" t="inlineStr">
        <is>
          <t>Model</t>
        </is>
      </c>
      <c r="C24" s="153" t="inlineStr">
        <is>
          <t>ABL facility sizing</t>
        </is>
      </c>
      <c r="D24" s="154" t="inlineStr">
        <is>
          <t>High</t>
        </is>
      </c>
      <c r="E24" s="152" t="inlineStr">
        <is>
          <t>Advisor</t>
        </is>
      </c>
      <c r="F24" s="152" t="inlineStr">
        <is>
          <t>TBD</t>
        </is>
      </c>
      <c r="G24" s="155" t="inlineStr">
        <is>
          <t>Open</t>
        </is>
      </c>
      <c r="H24" s="153" t="inlineStr">
        <is>
          <t>Size $6-10M facility against $11.5M AR</t>
        </is>
      </c>
    </row>
    <row r="26">
      <c r="A26" s="151" t="inlineStr">
        <is>
          <t>TRANSACTION ITEMS</t>
        </is>
      </c>
      <c r="B26" s="92" t="n"/>
      <c r="C26" s="92" t="n"/>
      <c r="D26" s="92" t="n"/>
      <c r="E26" s="92" t="n"/>
      <c r="F26" s="92" t="n"/>
      <c r="G26" s="92" t="n"/>
      <c r="H26" s="93" t="n"/>
    </row>
    <row r="27">
      <c r="A27" s="152" t="n">
        <v>16</v>
      </c>
      <c r="B27" s="153" t="inlineStr">
        <is>
          <t>Transaction</t>
        </is>
      </c>
      <c r="C27" s="153" t="inlineStr">
        <is>
          <t>Lender outreach status update</t>
        </is>
      </c>
      <c r="D27" s="154" t="inlineStr">
        <is>
          <t>High</t>
        </is>
      </c>
      <c r="E27" s="152" t="inlineStr">
        <is>
          <t>Advisor</t>
        </is>
      </c>
      <c r="F27" s="152" t="inlineStr">
        <is>
          <t>Weekly</t>
        </is>
      </c>
      <c r="G27" s="159" t="inlineStr">
        <is>
          <t>Ongoing</t>
        </is>
      </c>
      <c r="H27" s="153" t="inlineStr">
        <is>
          <t>Phase 2 with 25+ targets</t>
        </is>
      </c>
    </row>
    <row r="28">
      <c r="A28" s="152" t="n">
        <v>17</v>
      </c>
      <c r="B28" s="153" t="inlineStr">
        <is>
          <t>Transaction</t>
        </is>
      </c>
      <c r="C28" s="153" t="inlineStr">
        <is>
          <t>PropCo entity formation</t>
        </is>
      </c>
      <c r="D28" s="156" t="inlineStr">
        <is>
          <t>Medium</t>
        </is>
      </c>
      <c r="E28" s="152" t="inlineStr">
        <is>
          <t>Legal</t>
        </is>
      </c>
      <c r="F28" s="152" t="inlineStr">
        <is>
          <t>TBD</t>
        </is>
      </c>
      <c r="G28" s="155" t="inlineStr">
        <is>
          <t>Open</t>
        </is>
      </c>
      <c r="H28" s="153" t="inlineStr">
        <is>
          <t>IL LLC setup for real estate holdings</t>
        </is>
      </c>
    </row>
    <row r="29">
      <c r="A29" s="152" t="n">
        <v>18</v>
      </c>
      <c r="B29" s="153" t="inlineStr">
        <is>
          <t>Transaction</t>
        </is>
      </c>
      <c r="C29" s="153" t="inlineStr">
        <is>
          <t>Subordination agreements</t>
        </is>
      </c>
      <c r="D29" s="156" t="inlineStr">
        <is>
          <t>Medium</t>
        </is>
      </c>
      <c r="E29" s="152" t="inlineStr">
        <is>
          <t>Legal</t>
        </is>
      </c>
      <c r="F29" s="152" t="inlineStr">
        <is>
          <t>TBD</t>
        </is>
      </c>
      <c r="G29" s="155" t="inlineStr">
        <is>
          <t>Open</t>
        </is>
      </c>
      <c r="H29" s="153" t="inlineStr">
        <is>
          <t>Required for consolidated facility</t>
        </is>
      </c>
    </row>
    <row r="30">
      <c r="A30" s="152" t="n">
        <v>19</v>
      </c>
      <c r="B30" s="153" t="inlineStr">
        <is>
          <t>Transaction</t>
        </is>
      </c>
      <c r="C30" s="153" t="inlineStr">
        <is>
          <t>Collateral release letters</t>
        </is>
      </c>
      <c r="D30" s="156" t="inlineStr">
        <is>
          <t>Medium</t>
        </is>
      </c>
      <c r="E30" s="152" t="inlineStr">
        <is>
          <t>Legal</t>
        </is>
      </c>
      <c r="F30" s="152" t="inlineStr">
        <is>
          <t>TBD</t>
        </is>
      </c>
      <c r="G30" s="155" t="inlineStr">
        <is>
          <t>Open</t>
        </is>
      </c>
      <c r="H30" s="153" t="inlineStr">
        <is>
          <t>18+ lenders need release coordination</t>
        </is>
      </c>
    </row>
    <row r="31">
      <c r="A31" s="152" t="n">
        <v>20</v>
      </c>
      <c r="B31" s="153" t="inlineStr">
        <is>
          <t>Transaction</t>
        </is>
      </c>
      <c r="C31" s="153" t="inlineStr">
        <is>
          <t>Title/survey for IL properties</t>
        </is>
      </c>
      <c r="D31" s="156" t="inlineStr">
        <is>
          <t>Medium</t>
        </is>
      </c>
      <c r="E31" s="152" t="inlineStr">
        <is>
          <t>Client</t>
        </is>
      </c>
      <c r="F31" s="152" t="inlineStr">
        <is>
          <t>TBD</t>
        </is>
      </c>
      <c r="G31" s="155" t="inlineStr">
        <is>
          <t>Open</t>
        </is>
      </c>
      <c r="H31" s="153" t="inlineStr">
        <is>
          <t>8 owned IL properties</t>
        </is>
      </c>
    </row>
  </sheetData>
  <mergeCells count="7">
    <mergeCell ref="A12:H12"/>
    <mergeCell ref="A3:H3"/>
    <mergeCell ref="A26:H26"/>
    <mergeCell ref="A2:H2"/>
    <mergeCell ref="A19:H19"/>
    <mergeCell ref="A1:H1"/>
    <mergeCell ref="A6:H6"/>
  </mergeCells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2026-05-14T12:51:27Z</dcterms:created>
  <dcterms:modified xsi:type="dcterms:W3CDTF">2026-05-14T13:19:40Z</dcterms:modified>
</cp:coreProperties>
</file>